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90" windowWidth="9570" windowHeight="5475" activeTab="0"/>
  </bookViews>
  <sheets>
    <sheet name="VIDA" sheetId="1" r:id="rId1"/>
    <sheet name="MUTUALIDADES" sheetId="2" r:id="rId2"/>
  </sheets>
  <definedNames>
    <definedName name="_xlnm.Print_Area" localSheetId="1">'MUTUALIDADES'!$A$1:$K$21</definedName>
    <definedName name="_xlnm.Print_Area" localSheetId="0">'VIDA'!$A$1:$M$42</definedName>
  </definedNames>
  <calcPr fullCalcOnLoad="1"/>
</workbook>
</file>

<file path=xl/sharedStrings.xml><?xml version="1.0" encoding="utf-8"?>
<sst xmlns="http://schemas.openxmlformats.org/spreadsheetml/2006/main" count="111" uniqueCount="83">
  <si>
    <t>SEGUROS DE VIDA</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</si>
  <si>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</si>
  <si>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</si>
  <si>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</si>
  <si>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</si>
  <si>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</si>
  <si>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</si>
  <si>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</si>
  <si>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</si>
  <si>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</si>
  <si>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</si>
  <si>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</si>
  <si>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</si>
  <si>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</si>
  <si>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</si>
  <si>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 xml:space="preserve">TOTAL ASEGURADORAS    </t>
  </si>
  <si>
    <t>ENDEUDAMIENTO</t>
  </si>
  <si>
    <t>Caja Reaseguradora</t>
  </si>
  <si>
    <t>Chilena Consolidada</t>
  </si>
  <si>
    <t>Consorcio Nacional</t>
  </si>
  <si>
    <t>Cruz del Sur</t>
  </si>
  <si>
    <t>Interamericana</t>
  </si>
  <si>
    <t>Renta Nacional</t>
  </si>
  <si>
    <t>Vitalis</t>
  </si>
  <si>
    <t xml:space="preserve">Vida Corp  </t>
  </si>
  <si>
    <t>PAT. RIESGO</t>
  </si>
  <si>
    <t>RES. PREVIS.</t>
  </si>
  <si>
    <t>RES. NO PREVIS.</t>
  </si>
  <si>
    <t>RES. ADIC.</t>
  </si>
  <si>
    <t>INVERSIONES NO</t>
  </si>
  <si>
    <t>BBVA</t>
  </si>
  <si>
    <t xml:space="preserve">Cigna   </t>
  </si>
  <si>
    <t xml:space="preserve">Mapfre  </t>
  </si>
  <si>
    <t xml:space="preserve">Huelén </t>
  </si>
  <si>
    <t xml:space="preserve">Construcción   </t>
  </si>
  <si>
    <t>Banchile</t>
  </si>
  <si>
    <t>TOTAL REASEGURADORAS</t>
  </si>
  <si>
    <t xml:space="preserve">  </t>
  </si>
  <si>
    <t>Altavida</t>
  </si>
  <si>
    <t>CN Life</t>
  </si>
  <si>
    <t xml:space="preserve">Euroamérica </t>
  </si>
  <si>
    <t>Bci</t>
  </si>
  <si>
    <t xml:space="preserve">ING </t>
  </si>
  <si>
    <t>Bice</t>
  </si>
  <si>
    <t>Interrrentas</t>
  </si>
  <si>
    <t>Principal</t>
  </si>
  <si>
    <t xml:space="preserve">Cardif   </t>
  </si>
  <si>
    <t xml:space="preserve"> </t>
  </si>
  <si>
    <t>Penta</t>
  </si>
  <si>
    <t>(al 30 de junio de 2004, montos expresados en miles de pesos)</t>
  </si>
  <si>
    <t>ABN Amro (1)</t>
  </si>
  <si>
    <t>Metlife</t>
  </si>
  <si>
    <t>Ohio</t>
  </si>
  <si>
    <t>Security</t>
  </si>
  <si>
    <t>La compañía presenta sobreendeudamiento financiero, situación originada en abril de 2004.  De acuerdo al plan enviado por esa entidad, para solucionar dicha situación, la junta extraordinaria de accionistas realizó un aumento de capital de $ 3.100.159.997.-, mediante la emisión de 403.353.752 acciones.  Dicho aumento de capital fue aprobado por Resolución Exenta N° 383, de 18.08.2004.</t>
  </si>
  <si>
    <t>(1)</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</si>
  <si>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</si>
  <si>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</si>
  <si>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</si>
  <si>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</si>
  <si>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</si>
  <si>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</si>
  <si>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</si>
  <si>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</si>
  <si>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</si>
  <si>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</si>
  <si>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</si>
  <si>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</si>
  <si>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</si>
  <si>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Ejército y Aviación</t>
  </si>
  <si>
    <t>VENTAS INSTITUCIONALES Y NO INSTITUCIONALES SIMULTANEAMENTE</t>
  </si>
  <si>
    <t xml:space="preserve">OBLIGACION DE </t>
  </si>
  <si>
    <t>SUPERAVIT (DEFICIT)</t>
  </si>
  <si>
    <t xml:space="preserve"> INV.LAS R.TEC.</t>
  </si>
  <si>
    <t>TOTALES</t>
  </si>
  <si>
    <t>Y  PAT.RIESGO</t>
  </si>
  <si>
    <t>Y  PATRIMONIO</t>
  </si>
  <si>
    <t>REPRES.DE R.TECN.</t>
  </si>
  <si>
    <t>DE RES.TECNICAS</t>
  </si>
  <si>
    <t>VENTAS NO INST.</t>
  </si>
  <si>
    <t>VENTAS INST.</t>
  </si>
  <si>
    <t>Y PATRIMONIO</t>
  </si>
  <si>
    <t>Mutual de Seguros</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</si>
</sst>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quot; Pts&quot;;\-#,##0&quot; Pts&quot;"/>
    <numFmt numFmtId="209" formatCode="#,##0&quot; Pts&quot;;[Red]\-#,##0&quot; Pts&quot;"/>
    <numFmt numFmtId="210" formatCode="#,##0.00&quot; Pts&quot;;\-#,##0.00&quot; Pts&quot;"/>
    <numFmt numFmtId="211" formatCode="#,##0.00&quot; Pts&quot;;[Red]\-#,##0.00&quot; Pts&quot;"/>
    <numFmt numFmtId="212" formatCode="#,##0.000"/>
    <numFmt numFmtId="213" formatCode="0.00000000"/>
    <numFmt numFmtId="214" formatCode="0.0000000"/>
    <numFmt numFmtId="215" formatCode="0.000000"/>
    <numFmt numFmtId="216" formatCode="0.00000"/>
    <numFmt numFmtId="217" formatCode="0.0000"/>
    <numFmt numFmtId="218" formatCode="#,##0.0"/>
    <numFmt numFmtId="219" formatCode="0.000"/>
  </numFmts>
  <fonts count="12">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2"/>
    </font>
    <font>
      <sz val="10"/>
      <color indexed="10"/>
      <name val="MS Sans Serif"/>
      <family val="2"/>
    </font>
    <font>
      <u val="single"/>
      <sz val="8"/>
      <color indexed="12"/>
      <name val="MS Sans Serif"/>
      <family val="0"/>
    </font>
    <font>
      <u val="single"/>
      <sz val="8"/>
      <color indexed="36"/>
      <name val="MS Sans Serif"/>
      <family val="0"/>
    </font>
    <font>
      <u val="single"/>
      <sz val="10"/>
      <color indexed="12"/>
      <name val="MS Sans Serif"/>
      <family val="0"/>
    </font>
    <font>
      <u val="single"/>
      <sz val="10"/>
      <color indexed="36"/>
      <name val="MS Sans Serif"/>
      <family val="0"/>
    </font>
    <font>
      <sz val="10"/>
      <name val="Times New Roman"/>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 fontId="0" fillId="0" borderId="0" xfId="0" applyNumberFormat="1" applyAlignment="1">
      <alignment horizontal="right"/>
    </xf>
    <xf numFmtId="3" fontId="4" fillId="0" borderId="0" xfId="0" applyNumberFormat="1" applyFont="1" applyAlignment="1" quotePrefix="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applyAlignment="1" quotePrefix="1">
      <alignment horizontal="right"/>
    </xf>
    <xf numFmtId="3" fontId="0" fillId="0" borderId="2" xfId="0" applyNumberFormat="1" applyBorder="1" applyAlignment="1">
      <alignment horizontal="right"/>
    </xf>
    <xf numFmtId="3" fontId="4" fillId="0" borderId="0" xfId="0" applyNumberFormat="1" applyFont="1" applyBorder="1" applyAlignment="1" quotePrefix="1">
      <alignment horizontal="center"/>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4"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4" fillId="0" borderId="2" xfId="0" applyNumberFormat="1" applyFont="1" applyBorder="1" applyAlignment="1" quotePrefix="1">
      <alignment horizontal="right"/>
    </xf>
    <xf numFmtId="3" fontId="4" fillId="0" borderId="2" xfId="0" applyNumberFormat="1" applyFont="1" applyBorder="1" applyAlignment="1">
      <alignment horizontal="right"/>
    </xf>
    <xf numFmtId="3" fontId="0" fillId="0" borderId="0" xfId="0" applyNumberFormat="1" applyFill="1" applyAlignment="1">
      <alignment horizontal="left"/>
    </xf>
    <xf numFmtId="4" fontId="0" fillId="0" borderId="0" xfId="0" applyNumberFormat="1" applyFont="1" applyFill="1" applyAlignment="1">
      <alignment horizontal="right"/>
    </xf>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3" xfId="0" applyNumberFormat="1" applyFont="1" applyFill="1" applyBorder="1" applyAlignment="1">
      <alignment horizontal="right"/>
    </xf>
    <xf numFmtId="3" fontId="0" fillId="0" borderId="2" xfId="0" applyNumberFormat="1" applyFont="1" applyFill="1" applyBorder="1" applyAlignment="1">
      <alignment horizontal="left"/>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3" fontId="0" fillId="0" borderId="2" xfId="0" applyNumberFormat="1" applyFont="1" applyFill="1" applyBorder="1" applyAlignment="1">
      <alignment horizontal="right"/>
    </xf>
    <xf numFmtId="3" fontId="5" fillId="0" borderId="0" xfId="0" applyNumberFormat="1" applyFont="1" applyFill="1" applyAlignment="1">
      <alignment horizontal="left" vertical="top"/>
    </xf>
    <xf numFmtId="3" fontId="0" fillId="0" borderId="0" xfId="0" applyNumberFormat="1" applyFill="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3" fontId="5" fillId="0" borderId="0" xfId="0" applyNumberFormat="1" applyFont="1" applyFill="1" applyAlignment="1" quotePrefix="1">
      <alignment horizontal="left" vertical="top"/>
    </xf>
    <xf numFmtId="3" fontId="4" fillId="0" borderId="0" xfId="0" applyNumberFormat="1" applyFont="1" applyAlignment="1">
      <alignment horizontal="right" vertical="center"/>
    </xf>
    <xf numFmtId="3" fontId="0" fillId="0" borderId="0" xfId="0" applyNumberFormat="1" applyFont="1" applyFill="1" applyAlignment="1" quotePrefix="1">
      <alignment horizontal="left"/>
    </xf>
    <xf numFmtId="0" fontId="0" fillId="0" borderId="0" xfId="0" applyFill="1" applyAlignment="1">
      <alignment horizontal="left"/>
    </xf>
    <xf numFmtId="3" fontId="4" fillId="0" borderId="3" xfId="0" applyNumberFormat="1" applyFont="1" applyBorder="1" applyAlignment="1" quotePrefix="1">
      <alignment horizontal="center"/>
    </xf>
    <xf numFmtId="3" fontId="0" fillId="0" borderId="0" xfId="0" applyNumberFormat="1" applyFill="1" applyAlignment="1">
      <alignment horizontal="left"/>
    </xf>
    <xf numFmtId="3" fontId="5" fillId="0" borderId="0" xfId="0" applyNumberFormat="1" applyFont="1" applyFill="1" applyAlignment="1">
      <alignment horizontal="left" vertical="top" wrapText="1"/>
    </xf>
    <xf numFmtId="0" fontId="0" fillId="0" borderId="0" xfId="0" applyFill="1" applyAlignment="1">
      <alignment/>
    </xf>
    <xf numFmtId="0" fontId="0" fillId="0" borderId="0" xfId="0" applyAlignment="1" quotePrefix="1">
      <alignment horizontal="left"/>
    </xf>
    <xf numFmtId="219" fontId="0" fillId="0" borderId="0" xfId="0" applyNumberFormat="1" applyAlignment="1">
      <alignment/>
    </xf>
    <xf numFmtId="0" fontId="1" fillId="0" borderId="0" xfId="0" applyFont="1" applyAlignment="1" quotePrefix="1">
      <alignment horizontal="left"/>
    </xf>
    <xf numFmtId="0" fontId="0" fillId="0" borderId="0" xfId="0" applyFont="1" applyAlignment="1">
      <alignment/>
    </xf>
    <xf numFmtId="17" fontId="0" fillId="0" borderId="0" xfId="0" applyNumberFormat="1" applyFont="1" applyAlignment="1" quotePrefix="1">
      <alignment horizontal="left"/>
    </xf>
    <xf numFmtId="0" fontId="5" fillId="0" borderId="0" xfId="0" applyFont="1" applyAlignment="1">
      <alignment/>
    </xf>
    <xf numFmtId="0" fontId="4" fillId="0" borderId="1" xfId="0" applyFont="1" applyBorder="1" applyAlignment="1">
      <alignment/>
    </xf>
    <xf numFmtId="3" fontId="4" fillId="0" borderId="3" xfId="0" applyNumberFormat="1" applyFont="1" applyBorder="1" applyAlignment="1" quotePrefix="1">
      <alignment horizontal="left"/>
    </xf>
    <xf numFmtId="0" fontId="4" fillId="0" borderId="3" xfId="0" applyFont="1" applyBorder="1" applyAlignment="1">
      <alignment horizontal="center"/>
    </xf>
    <xf numFmtId="0" fontId="4" fillId="0" borderId="1" xfId="0" applyFont="1" applyBorder="1" applyAlignment="1">
      <alignment horizontal="right"/>
    </xf>
    <xf numFmtId="0" fontId="4" fillId="0" borderId="1" xfId="0" applyFont="1" applyBorder="1" applyAlignment="1" quotePrefix="1">
      <alignment horizontal="right"/>
    </xf>
    <xf numFmtId="0" fontId="4" fillId="0" borderId="0" xfId="0" applyFont="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0" fontId="4" fillId="0" borderId="2" xfId="0" applyFont="1" applyBorder="1" applyAlignment="1" quotePrefix="1">
      <alignment horizontal="right"/>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0" fontId="0" fillId="0" borderId="0" xfId="0" applyFont="1" applyAlignment="1">
      <alignment horizontal="left"/>
    </xf>
    <xf numFmtId="0" fontId="0" fillId="0" borderId="0" xfId="0" applyFont="1" applyAlignment="1">
      <alignment/>
    </xf>
    <xf numFmtId="2" fontId="4" fillId="0" borderId="0" xfId="0" applyNumberFormat="1" applyFont="1" applyAlignment="1">
      <alignment horizontal="right"/>
    </xf>
    <xf numFmtId="219" fontId="4" fillId="0" borderId="0" xfId="0" applyNumberFormat="1" applyFont="1" applyAlignment="1">
      <alignment horizontal="right"/>
    </xf>
    <xf numFmtId="3" fontId="4" fillId="0" borderId="0" xfId="0" applyNumberFormat="1" applyFont="1" applyAlignment="1">
      <alignment/>
    </xf>
    <xf numFmtId="0" fontId="0" fillId="0" borderId="0" xfId="0" applyFont="1" applyAlignment="1" quotePrefix="1">
      <alignment horizontal="left"/>
    </xf>
    <xf numFmtId="219"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0" fontId="0" fillId="0" borderId="0" xfId="0" applyFont="1" applyAlignment="1" quotePrefix="1">
      <alignment horizontal="left"/>
    </xf>
    <xf numFmtId="2" fontId="4" fillId="0" borderId="3" xfId="0" applyNumberFormat="1" applyFont="1" applyBorder="1" applyAlignment="1">
      <alignment horizontal="center"/>
    </xf>
    <xf numFmtId="3" fontId="4" fillId="0" borderId="0" xfId="0" applyNumberFormat="1" applyFont="1" applyAlignment="1">
      <alignment horizontal="right"/>
    </xf>
    <xf numFmtId="2" fontId="4" fillId="0" borderId="2" xfId="0" applyNumberFormat="1" applyFont="1" applyBorder="1" applyAlignment="1">
      <alignment/>
    </xf>
    <xf numFmtId="0" fontId="11"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indexed="51"/>
    <pageSetUpPr fitToPage="1"/>
  </sheetPr>
  <dimension ref="A1:M65"/>
  <sheetViews>
    <sheetView tabSelected="1" workbookViewId="0" topLeftCell="A1">
      <selection activeCell="A1" sqref="A1"/>
    </sheetView>
  </sheetViews>
  <sheetFormatPr defaultColWidth="11.421875" defaultRowHeight="12.75"/>
  <cols>
    <col min="1" max="1" width="2.57421875" style="1" customWidth="1"/>
    <col min="2" max="2" width="22.421875" style="1" customWidth="1"/>
    <col min="3" max="3" width="12.140625" style="1" bestFit="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3.57421875" style="1" customWidth="1"/>
    <col min="11" max="11" width="18.57421875" style="1" bestFit="1" customWidth="1"/>
    <col min="12" max="13" width="12.28125" style="1" bestFit="1" customWidth="1"/>
    <col min="14" max="16384" width="11.421875" style="1" customWidth="1"/>
  </cols>
  <sheetData>
    <row r="1" spans="1:5" ht="12.75">
      <c r="A1" s="11"/>
      <c r="B1" s="38"/>
      <c r="C1" s="39"/>
      <c r="D1" s="39"/>
      <c r="E1" s="14"/>
    </row>
    <row r="2" spans="1:4" ht="12.75">
      <c r="A2" s="40" t="s">
        <v>0</v>
      </c>
      <c r="B2" s="40"/>
      <c r="C2" s="39"/>
      <c r="D2" s="39"/>
    </row>
    <row r="3" spans="1:13" ht="12.75">
      <c r="A3" s="12" t="s">
        <v>49</v>
      </c>
      <c r="B3" s="40"/>
      <c r="C3" s="39"/>
      <c r="D3" s="39"/>
      <c r="M3" s="8"/>
    </row>
    <row r="4" spans="1:13" ht="12.75">
      <c r="A4" s="10" t="s">
        <v>1</v>
      </c>
      <c r="B4" s="10"/>
      <c r="C4" s="6" t="s">
        <v>2</v>
      </c>
      <c r="D4" s="45" t="s">
        <v>16</v>
      </c>
      <c r="E4" s="45"/>
      <c r="F4" s="6" t="s">
        <v>3</v>
      </c>
      <c r="G4" s="7" t="s">
        <v>4</v>
      </c>
      <c r="H4" s="7" t="s">
        <v>5</v>
      </c>
      <c r="I4" s="6" t="s">
        <v>29</v>
      </c>
      <c r="J4" s="6" t="s">
        <v>6</v>
      </c>
      <c r="K4" s="6" t="s">
        <v>6</v>
      </c>
      <c r="L4" s="6" t="s">
        <v>6</v>
      </c>
      <c r="M4" s="6" t="s">
        <v>6</v>
      </c>
    </row>
    <row r="5" spans="1:13" ht="12.75">
      <c r="A5" s="3"/>
      <c r="B5" s="3"/>
      <c r="C5" s="4" t="s">
        <v>7</v>
      </c>
      <c r="D5" s="5" t="s">
        <v>8</v>
      </c>
      <c r="E5" s="5" t="s">
        <v>9</v>
      </c>
      <c r="F5" s="4" t="s">
        <v>10</v>
      </c>
      <c r="G5" s="2" t="s">
        <v>11</v>
      </c>
      <c r="H5" s="5" t="s">
        <v>12</v>
      </c>
      <c r="I5" s="5" t="s">
        <v>13</v>
      </c>
      <c r="J5" s="5" t="s">
        <v>26</v>
      </c>
      <c r="K5" s="5" t="s">
        <v>27</v>
      </c>
      <c r="L5" s="42" t="s">
        <v>28</v>
      </c>
      <c r="M5" s="13" t="s">
        <v>25</v>
      </c>
    </row>
    <row r="6" spans="1:13" ht="12.75">
      <c r="A6" s="8"/>
      <c r="B6" s="8"/>
      <c r="C6" s="8"/>
      <c r="D6" s="8"/>
      <c r="E6" s="8"/>
      <c r="F6" s="20" t="s">
        <v>14</v>
      </c>
      <c r="G6" s="20" t="s">
        <v>7</v>
      </c>
      <c r="H6" s="20" t="s">
        <v>14</v>
      </c>
      <c r="I6" s="21"/>
      <c r="J6" s="8"/>
      <c r="K6" s="8"/>
      <c r="L6" s="8"/>
      <c r="M6" s="8"/>
    </row>
    <row r="7" spans="1:13" ht="12.75">
      <c r="A7" s="3"/>
      <c r="B7" s="3"/>
      <c r="C7" s="3"/>
      <c r="D7" s="3"/>
      <c r="E7" s="3"/>
      <c r="F7" s="4"/>
      <c r="G7" s="9"/>
      <c r="H7" s="4"/>
      <c r="I7" s="5"/>
      <c r="J7" s="3"/>
      <c r="K7" s="3"/>
      <c r="L7" s="3"/>
      <c r="M7" s="3"/>
    </row>
    <row r="8" spans="1:13" s="16" customFormat="1" ht="12.75">
      <c r="A8" s="46" t="s">
        <v>50</v>
      </c>
      <c r="B8" s="46"/>
      <c r="C8" s="16">
        <v>1639206</v>
      </c>
      <c r="D8" s="18">
        <v>1.86</v>
      </c>
      <c r="E8" s="18">
        <v>1.05</v>
      </c>
      <c r="F8" s="16">
        <v>3378080</v>
      </c>
      <c r="G8" s="16">
        <f>+J8+K8+L8+M8</f>
        <v>3382165</v>
      </c>
      <c r="H8" s="15">
        <f aca="true" t="shared" si="0" ref="H8:H33">G8-F8</f>
        <v>4085</v>
      </c>
      <c r="I8" s="16">
        <v>50082</v>
      </c>
      <c r="J8" s="16">
        <v>0</v>
      </c>
      <c r="K8" s="16">
        <f>151662+1036695+559906</f>
        <v>1748263</v>
      </c>
      <c r="L8" s="16">
        <v>0</v>
      </c>
      <c r="M8" s="16">
        <v>1633902</v>
      </c>
    </row>
    <row r="9" spans="1:13" s="15" customFormat="1" ht="12.75">
      <c r="A9" s="17" t="s">
        <v>38</v>
      </c>
      <c r="B9" s="19"/>
      <c r="C9" s="16">
        <v>6943893</v>
      </c>
      <c r="D9" s="18">
        <v>1</v>
      </c>
      <c r="E9" s="18">
        <v>0.3</v>
      </c>
      <c r="F9" s="16">
        <v>23208499</v>
      </c>
      <c r="G9" s="15">
        <f aca="true" t="shared" si="1" ref="G9:G34">+J9+K9+L9+M9</f>
        <v>27614507</v>
      </c>
      <c r="H9" s="15">
        <f t="shared" si="0"/>
        <v>4406008</v>
      </c>
      <c r="I9" s="16">
        <v>11304622</v>
      </c>
      <c r="J9" s="16">
        <v>0</v>
      </c>
      <c r="K9" s="16">
        <f>1704645+14115447+576213</f>
        <v>16396305</v>
      </c>
      <c r="L9" s="16">
        <v>25324</v>
      </c>
      <c r="M9" s="16">
        <v>11192878</v>
      </c>
    </row>
    <row r="10" spans="1:13" s="15" customFormat="1" ht="12.75">
      <c r="A10" s="17" t="s">
        <v>35</v>
      </c>
      <c r="B10" s="17"/>
      <c r="C10" s="16">
        <v>3606675</v>
      </c>
      <c r="D10" s="18">
        <v>3.13</v>
      </c>
      <c r="E10" s="18">
        <v>0.96</v>
      </c>
      <c r="F10" s="16">
        <v>11977340</v>
      </c>
      <c r="G10" s="15">
        <f t="shared" si="1"/>
        <v>13967634</v>
      </c>
      <c r="H10" s="15">
        <f t="shared" si="0"/>
        <v>1990294</v>
      </c>
      <c r="I10" s="16">
        <v>144611</v>
      </c>
      <c r="J10" s="16">
        <v>0</v>
      </c>
      <c r="K10" s="16">
        <f>1130838+6959727+7382+296641</f>
        <v>8394588</v>
      </c>
      <c r="L10" s="16">
        <v>0</v>
      </c>
      <c r="M10" s="16">
        <v>5573046</v>
      </c>
    </row>
    <row r="11" spans="1:13" s="16" customFormat="1" ht="12.75">
      <c r="A11" s="17" t="s">
        <v>30</v>
      </c>
      <c r="B11" s="17"/>
      <c r="C11" s="16">
        <v>2674599</v>
      </c>
      <c r="D11" s="18">
        <v>3.16</v>
      </c>
      <c r="E11" s="18">
        <v>0.12</v>
      </c>
      <c r="F11" s="16">
        <v>34658510</v>
      </c>
      <c r="G11" s="16">
        <f>+J11+K11+L11+M11</f>
        <v>41173359</v>
      </c>
      <c r="H11" s="15">
        <f>G11-F11</f>
        <v>6514849</v>
      </c>
      <c r="I11" s="16">
        <v>1688192</v>
      </c>
      <c r="J11" s="16">
        <v>29520053</v>
      </c>
      <c r="K11" s="16">
        <f>394542+2069316</f>
        <v>2463858</v>
      </c>
      <c r="L11" s="16">
        <v>0</v>
      </c>
      <c r="M11" s="16">
        <v>9189448</v>
      </c>
    </row>
    <row r="12" spans="1:13" s="16" customFormat="1" ht="12.75">
      <c r="A12" s="17" t="s">
        <v>41</v>
      </c>
      <c r="B12" s="17"/>
      <c r="C12" s="16">
        <v>4386800</v>
      </c>
      <c r="D12" s="18">
        <v>4.2</v>
      </c>
      <c r="E12" s="18">
        <v>0.65</v>
      </c>
      <c r="F12" s="16">
        <v>33028417</v>
      </c>
      <c r="G12" s="15">
        <f>+J12+K12+L12+M12</f>
        <v>38157735</v>
      </c>
      <c r="H12" s="15">
        <f>G12-F12</f>
        <v>5129318</v>
      </c>
      <c r="I12" s="16">
        <v>976055</v>
      </c>
      <c r="J12" s="16">
        <v>17116323</v>
      </c>
      <c r="K12" s="16">
        <f>1431158+4518647+261388+5334036</f>
        <v>11545229</v>
      </c>
      <c r="L12" s="16">
        <v>0</v>
      </c>
      <c r="M12" s="16">
        <v>9496183</v>
      </c>
    </row>
    <row r="13" spans="1:13" s="16" customFormat="1" ht="12.75">
      <c r="A13" s="43" t="s">
        <v>43</v>
      </c>
      <c r="B13" s="44"/>
      <c r="C13" s="16">
        <v>25796681</v>
      </c>
      <c r="D13" s="18">
        <v>13.39</v>
      </c>
      <c r="E13" s="18">
        <v>0.39</v>
      </c>
      <c r="F13" s="16">
        <v>387195616</v>
      </c>
      <c r="G13" s="16">
        <f>+J13+K13+L13+M13</f>
        <v>389267082</v>
      </c>
      <c r="H13" s="15">
        <f t="shared" si="0"/>
        <v>2071466</v>
      </c>
      <c r="I13" s="16">
        <v>5376048</v>
      </c>
      <c r="J13" s="16">
        <v>359314455</v>
      </c>
      <c r="K13" s="16">
        <f>589323+3566623</f>
        <v>4155946</v>
      </c>
      <c r="L13" s="16">
        <v>0</v>
      </c>
      <c r="M13" s="16">
        <v>25796681</v>
      </c>
    </row>
    <row r="14" spans="1:13" s="15" customFormat="1" ht="12.75">
      <c r="A14" s="17" t="s">
        <v>46</v>
      </c>
      <c r="B14" s="19"/>
      <c r="C14" s="16">
        <v>3686939</v>
      </c>
      <c r="D14" s="18">
        <v>2.4</v>
      </c>
      <c r="E14" s="18">
        <v>0.66</v>
      </c>
      <c r="F14" s="16">
        <v>13433166</v>
      </c>
      <c r="G14" s="15">
        <f>+J14+K14+L14+M14</f>
        <v>15024100</v>
      </c>
      <c r="H14" s="15">
        <f t="shared" si="0"/>
        <v>1590934</v>
      </c>
      <c r="I14" s="16">
        <v>142667</v>
      </c>
      <c r="J14" s="16">
        <v>0</v>
      </c>
      <c r="K14" s="16">
        <f>1838705+7907522</f>
        <v>9746227</v>
      </c>
      <c r="L14" s="16">
        <v>0</v>
      </c>
      <c r="M14" s="16">
        <v>5277873</v>
      </c>
    </row>
    <row r="15" spans="1:13" s="16" customFormat="1" ht="12.75">
      <c r="A15" s="17" t="s">
        <v>18</v>
      </c>
      <c r="B15" s="19"/>
      <c r="C15" s="16">
        <v>36405041</v>
      </c>
      <c r="D15" s="18">
        <v>7.84</v>
      </c>
      <c r="E15" s="18">
        <v>0.2</v>
      </c>
      <c r="F15" s="16">
        <v>542757804</v>
      </c>
      <c r="G15" s="16">
        <f t="shared" si="1"/>
        <v>565915111</v>
      </c>
      <c r="H15" s="15">
        <f t="shared" si="0"/>
        <v>23157307</v>
      </c>
      <c r="I15" s="16">
        <v>1526638</v>
      </c>
      <c r="J15" s="16">
        <v>468073112</v>
      </c>
      <c r="K15" s="16">
        <f>9084448+29527524+848008+21905762</f>
        <v>61365742</v>
      </c>
      <c r="L15" s="16">
        <v>71216</v>
      </c>
      <c r="M15" s="16">
        <v>36405041</v>
      </c>
    </row>
    <row r="16" spans="1:13" s="24" customFormat="1" ht="12.75">
      <c r="A16" s="17" t="s">
        <v>31</v>
      </c>
      <c r="B16" s="17"/>
      <c r="C16" s="15">
        <v>7071644</v>
      </c>
      <c r="D16" s="23">
        <v>5.37</v>
      </c>
      <c r="E16" s="23">
        <v>0.13</v>
      </c>
      <c r="F16" s="15">
        <v>98098557</v>
      </c>
      <c r="G16" s="15">
        <f t="shared" si="1"/>
        <v>108374848</v>
      </c>
      <c r="H16" s="15">
        <f t="shared" si="0"/>
        <v>10276291</v>
      </c>
      <c r="I16" s="15">
        <v>206943</v>
      </c>
      <c r="J16" s="15">
        <v>97067363</v>
      </c>
      <c r="K16" s="15">
        <f>1660130+1673542+902169</f>
        <v>4235841</v>
      </c>
      <c r="L16" s="15">
        <v>0</v>
      </c>
      <c r="M16" s="15">
        <v>7071644</v>
      </c>
    </row>
    <row r="17" spans="1:13" s="16" customFormat="1" ht="12.75">
      <c r="A17" s="17" t="s">
        <v>39</v>
      </c>
      <c r="B17" s="19"/>
      <c r="C17" s="16">
        <v>18817935</v>
      </c>
      <c r="D17" s="18">
        <v>7.04</v>
      </c>
      <c r="E17" s="18">
        <v>0.15</v>
      </c>
      <c r="F17" s="16">
        <v>292256342</v>
      </c>
      <c r="G17" s="16">
        <f>+J17+K17+L17+M17</f>
        <v>305077745</v>
      </c>
      <c r="H17" s="15">
        <f t="shared" si="0"/>
        <v>12821403</v>
      </c>
      <c r="I17" s="16">
        <v>564123</v>
      </c>
      <c r="J17" s="16">
        <v>272050641</v>
      </c>
      <c r="K17" s="16">
        <f>26386+1361380</f>
        <v>1387766</v>
      </c>
      <c r="L17" s="16">
        <v>0</v>
      </c>
      <c r="M17" s="16">
        <v>31639338</v>
      </c>
    </row>
    <row r="18" spans="1:13" s="16" customFormat="1" ht="12.75">
      <c r="A18" s="17" t="s">
        <v>19</v>
      </c>
      <c r="B18" s="17"/>
      <c r="C18" s="16">
        <v>158967527</v>
      </c>
      <c r="D18" s="18">
        <v>8.03</v>
      </c>
      <c r="E18" s="18">
        <v>0.87</v>
      </c>
      <c r="F18" s="16">
        <v>1508460836</v>
      </c>
      <c r="G18" s="16">
        <f t="shared" si="1"/>
        <v>1542750916</v>
      </c>
      <c r="H18" s="15">
        <f t="shared" si="0"/>
        <v>34290080</v>
      </c>
      <c r="I18" s="16">
        <v>36333163</v>
      </c>
      <c r="J18" s="16">
        <v>1247006167</v>
      </c>
      <c r="K18" s="16">
        <f>2379057+39920557+8364598+37393923</f>
        <v>88058135</v>
      </c>
      <c r="L18" s="16">
        <v>9479871</v>
      </c>
      <c r="M18" s="16">
        <v>198206743</v>
      </c>
    </row>
    <row r="19" spans="1:13" s="16" customFormat="1" ht="12.75">
      <c r="A19" s="17" t="s">
        <v>34</v>
      </c>
      <c r="B19" s="17"/>
      <c r="C19" s="16">
        <v>51716755</v>
      </c>
      <c r="D19" s="18">
        <v>9.2</v>
      </c>
      <c r="E19" s="18">
        <v>0.1</v>
      </c>
      <c r="F19" s="16">
        <v>792724141</v>
      </c>
      <c r="G19" s="16">
        <f t="shared" si="1"/>
        <v>813392127</v>
      </c>
      <c r="H19" s="15">
        <f t="shared" si="0"/>
        <v>20667986</v>
      </c>
      <c r="I19" s="16">
        <v>5315969</v>
      </c>
      <c r="J19" s="16">
        <v>734628227</v>
      </c>
      <c r="K19" s="16">
        <f>1724610+22374069+12613+2749417</f>
        <v>26860709</v>
      </c>
      <c r="L19" s="16">
        <v>186436</v>
      </c>
      <c r="M19" s="16">
        <v>51716755</v>
      </c>
    </row>
    <row r="20" spans="1:13" s="16" customFormat="1" ht="12.75">
      <c r="A20" s="17" t="s">
        <v>20</v>
      </c>
      <c r="B20" s="17"/>
      <c r="C20" s="16">
        <v>19870277</v>
      </c>
      <c r="D20" s="18">
        <v>7.96</v>
      </c>
      <c r="E20" s="18">
        <v>0.24</v>
      </c>
      <c r="F20" s="16">
        <v>261121598</v>
      </c>
      <c r="G20" s="16">
        <f t="shared" si="1"/>
        <v>271986841</v>
      </c>
      <c r="H20" s="15">
        <f t="shared" si="0"/>
        <v>10865243</v>
      </c>
      <c r="I20" s="16">
        <v>3421423</v>
      </c>
      <c r="J20" s="16">
        <v>222332438</v>
      </c>
      <c r="K20" s="16">
        <f>1814206+6421006+1137262+9782448</f>
        <v>19154922</v>
      </c>
      <c r="L20" s="16">
        <v>34097</v>
      </c>
      <c r="M20" s="16">
        <v>30465384</v>
      </c>
    </row>
    <row r="21" spans="1:13" s="16" customFormat="1" ht="12.75">
      <c r="A21" s="17" t="s">
        <v>40</v>
      </c>
      <c r="B21" s="17"/>
      <c r="C21" s="16">
        <v>22315531</v>
      </c>
      <c r="D21" s="18">
        <v>11.61</v>
      </c>
      <c r="E21" s="18">
        <v>0.7</v>
      </c>
      <c r="F21" s="16">
        <v>338244291</v>
      </c>
      <c r="G21" s="16">
        <f t="shared" si="1"/>
        <v>352375241</v>
      </c>
      <c r="H21" s="15">
        <f t="shared" si="0"/>
        <v>14130950</v>
      </c>
      <c r="I21" s="16">
        <v>937190</v>
      </c>
      <c r="J21" s="16">
        <v>270868596</v>
      </c>
      <c r="K21" s="16">
        <f>2023536+12055385+12745655+18653589</f>
        <v>45478165</v>
      </c>
      <c r="L21" s="16">
        <v>143518</v>
      </c>
      <c r="M21" s="16">
        <v>35884962</v>
      </c>
    </row>
    <row r="22" spans="1:13" s="16" customFormat="1" ht="12.75">
      <c r="A22" s="17" t="s">
        <v>33</v>
      </c>
      <c r="B22" s="17"/>
      <c r="C22" s="16">
        <v>1531346</v>
      </c>
      <c r="D22" s="18">
        <v>1.69</v>
      </c>
      <c r="E22" s="18">
        <v>0.28</v>
      </c>
      <c r="F22" s="16">
        <v>5035031</v>
      </c>
      <c r="G22" s="16">
        <f t="shared" si="1"/>
        <v>6383397</v>
      </c>
      <c r="H22" s="15">
        <f t="shared" si="0"/>
        <v>1348366</v>
      </c>
      <c r="I22" s="16">
        <v>16226</v>
      </c>
      <c r="J22" s="16">
        <v>0</v>
      </c>
      <c r="K22" s="16">
        <f>60849+3442836</f>
        <v>3503685</v>
      </c>
      <c r="L22" s="16">
        <v>0</v>
      </c>
      <c r="M22" s="16">
        <v>2879712</v>
      </c>
    </row>
    <row r="23" spans="1:13" s="25" customFormat="1" ht="12.75">
      <c r="A23" s="17" t="s">
        <v>42</v>
      </c>
      <c r="B23" s="17"/>
      <c r="C23" s="16">
        <v>78771341</v>
      </c>
      <c r="D23" s="18">
        <v>8.71</v>
      </c>
      <c r="E23" s="18">
        <v>0.22</v>
      </c>
      <c r="F23" s="16">
        <v>1199243156</v>
      </c>
      <c r="G23" s="15">
        <f t="shared" si="1"/>
        <v>1232103537</v>
      </c>
      <c r="H23" s="15">
        <f t="shared" si="0"/>
        <v>32860381</v>
      </c>
      <c r="I23" s="16">
        <v>7675860</v>
      </c>
      <c r="J23" s="16">
        <v>1030397798</v>
      </c>
      <c r="K23" s="16">
        <f>3725688+43676352+12645094+29482506</f>
        <v>89529640</v>
      </c>
      <c r="L23" s="16">
        <v>123829</v>
      </c>
      <c r="M23" s="16">
        <v>112052270</v>
      </c>
    </row>
    <row r="24" spans="1:13" s="25" customFormat="1" ht="12.75">
      <c r="A24" s="17" t="s">
        <v>21</v>
      </c>
      <c r="B24" s="17"/>
      <c r="C24" s="16">
        <v>10995526</v>
      </c>
      <c r="D24" s="18">
        <v>2.91</v>
      </c>
      <c r="E24" s="18">
        <v>0.34</v>
      </c>
      <c r="F24" s="16">
        <v>115724693</v>
      </c>
      <c r="G24" s="15">
        <f t="shared" si="1"/>
        <v>131025959</v>
      </c>
      <c r="H24" s="15">
        <f>G24-F24</f>
        <v>15301266</v>
      </c>
      <c r="I24" s="16">
        <v>9664918</v>
      </c>
      <c r="J24" s="16">
        <v>32928815</v>
      </c>
      <c r="K24" s="16">
        <f>3794785+42141592+170879+26840723</f>
        <v>72947979</v>
      </c>
      <c r="L24" s="16">
        <v>0</v>
      </c>
      <c r="M24" s="16">
        <v>25149165</v>
      </c>
    </row>
    <row r="25" spans="1:13" s="16" customFormat="1" ht="12.75">
      <c r="A25" s="17" t="s">
        <v>44</v>
      </c>
      <c r="B25" s="19"/>
      <c r="C25" s="16">
        <v>28492251</v>
      </c>
      <c r="D25" s="18">
        <v>11.96</v>
      </c>
      <c r="E25" s="18">
        <v>0.82</v>
      </c>
      <c r="F25" s="16">
        <v>416217013</v>
      </c>
      <c r="G25" s="16">
        <f t="shared" si="1"/>
        <v>421294044</v>
      </c>
      <c r="H25" s="15">
        <f>G25-F25</f>
        <v>5077031</v>
      </c>
      <c r="I25" s="16">
        <v>99777</v>
      </c>
      <c r="J25" s="16">
        <v>360978409</v>
      </c>
      <c r="K25" s="16">
        <v>26746352</v>
      </c>
      <c r="L25" s="16">
        <v>0</v>
      </c>
      <c r="M25" s="16">
        <v>33569283</v>
      </c>
    </row>
    <row r="26" spans="1:13" s="15" customFormat="1" ht="12.75">
      <c r="A26" s="17" t="s">
        <v>32</v>
      </c>
      <c r="B26" s="17"/>
      <c r="C26" s="16">
        <v>1955433</v>
      </c>
      <c r="D26" s="18">
        <v>3.68</v>
      </c>
      <c r="E26" s="18">
        <v>0.5</v>
      </c>
      <c r="F26" s="16">
        <v>14646325</v>
      </c>
      <c r="G26" s="15">
        <f aca="true" t="shared" si="2" ref="G26:G32">+J26+K26+L26+M26</f>
        <v>15671338</v>
      </c>
      <c r="H26" s="15">
        <f aca="true" t="shared" si="3" ref="H26:H32">G26-F26</f>
        <v>1025013</v>
      </c>
      <c r="I26" s="16">
        <v>36363</v>
      </c>
      <c r="J26" s="16">
        <v>11076383</v>
      </c>
      <c r="K26" s="16">
        <f>1099474+340440+173345</f>
        <v>1613259</v>
      </c>
      <c r="L26" s="16">
        <v>4845</v>
      </c>
      <c r="M26" s="16">
        <v>2976851</v>
      </c>
    </row>
    <row r="27" spans="1:13" s="15" customFormat="1" ht="12.75">
      <c r="A27" s="17" t="s">
        <v>51</v>
      </c>
      <c r="B27" s="17"/>
      <c r="C27" s="16">
        <v>60967801</v>
      </c>
      <c r="D27" s="18">
        <v>8.15</v>
      </c>
      <c r="E27" s="18">
        <v>0.29</v>
      </c>
      <c r="F27" s="16">
        <v>923746383</v>
      </c>
      <c r="G27" s="15">
        <f t="shared" si="2"/>
        <v>936886197</v>
      </c>
      <c r="H27" s="15">
        <f t="shared" si="3"/>
        <v>13139814</v>
      </c>
      <c r="I27" s="16">
        <v>14050801</v>
      </c>
      <c r="J27" s="16">
        <v>850433294</v>
      </c>
      <c r="K27" s="16">
        <f>1025543+4895823+629503+18819878</f>
        <v>25370747</v>
      </c>
      <c r="L27" s="16">
        <v>114355</v>
      </c>
      <c r="M27" s="16">
        <v>60967801</v>
      </c>
    </row>
    <row r="28" spans="1:13" s="16" customFormat="1" ht="12.75">
      <c r="A28" s="17" t="s">
        <v>52</v>
      </c>
      <c r="B28" s="17"/>
      <c r="C28" s="16">
        <v>16653609</v>
      </c>
      <c r="D28" s="18">
        <v>10.36</v>
      </c>
      <c r="E28" s="18">
        <v>0.06</v>
      </c>
      <c r="F28" s="16">
        <v>259978927</v>
      </c>
      <c r="G28" s="16">
        <f t="shared" si="2"/>
        <v>264260428</v>
      </c>
      <c r="H28" s="15">
        <f t="shared" si="3"/>
        <v>4281501</v>
      </c>
      <c r="I28" s="16">
        <v>177246</v>
      </c>
      <c r="J28" s="16">
        <v>240310278</v>
      </c>
      <c r="K28" s="16">
        <f>341728+2673312</f>
        <v>3015040</v>
      </c>
      <c r="L28" s="16">
        <v>0</v>
      </c>
      <c r="M28" s="16">
        <v>20935110</v>
      </c>
    </row>
    <row r="29" spans="1:13" s="15" customFormat="1" ht="12.75">
      <c r="A29" s="17" t="s">
        <v>48</v>
      </c>
      <c r="B29" s="19"/>
      <c r="C29" s="16">
        <v>30259715</v>
      </c>
      <c r="D29" s="18">
        <v>8.86</v>
      </c>
      <c r="E29" s="18">
        <v>0.11</v>
      </c>
      <c r="F29" s="16">
        <v>470790772</v>
      </c>
      <c r="G29" s="15">
        <f>+J29+K29+L29+M29</f>
        <v>480007691</v>
      </c>
      <c r="H29" s="15">
        <f>G29-F29</f>
        <v>9216919</v>
      </c>
      <c r="I29" s="16">
        <v>3757177</v>
      </c>
      <c r="J29" s="16">
        <v>431544533</v>
      </c>
      <c r="K29" s="16">
        <f>317586+1702553+7865206</f>
        <v>9885345</v>
      </c>
      <c r="L29" s="16">
        <v>35266</v>
      </c>
      <c r="M29" s="16">
        <v>38542547</v>
      </c>
    </row>
    <row r="30" spans="1:13" s="15" customFormat="1" ht="12.75">
      <c r="A30" s="17" t="s">
        <v>45</v>
      </c>
      <c r="B30" s="19"/>
      <c r="C30" s="16">
        <v>54987675</v>
      </c>
      <c r="D30" s="18">
        <v>11.76</v>
      </c>
      <c r="E30" s="18">
        <v>0.33</v>
      </c>
      <c r="F30" s="16">
        <v>852519662</v>
      </c>
      <c r="G30" s="15">
        <f t="shared" si="2"/>
        <v>858126101</v>
      </c>
      <c r="H30" s="15">
        <f t="shared" si="3"/>
        <v>5606439</v>
      </c>
      <c r="I30" s="16">
        <v>5744478</v>
      </c>
      <c r="J30" s="16">
        <v>792212846</v>
      </c>
      <c r="K30" s="16">
        <f>821320+3341227+339286+878129</f>
        <v>5379962</v>
      </c>
      <c r="L30" s="16">
        <v>0</v>
      </c>
      <c r="M30" s="16">
        <v>60533293</v>
      </c>
    </row>
    <row r="31" spans="1:13" s="16" customFormat="1" ht="12.75">
      <c r="A31" s="17" t="s">
        <v>22</v>
      </c>
      <c r="B31" s="17"/>
      <c r="C31" s="16">
        <v>16971754</v>
      </c>
      <c r="D31" s="18">
        <v>8.4</v>
      </c>
      <c r="E31" s="18">
        <v>0.19</v>
      </c>
      <c r="F31" s="16">
        <v>265789333</v>
      </c>
      <c r="G31" s="16">
        <f t="shared" si="2"/>
        <v>267474089</v>
      </c>
      <c r="H31" s="15">
        <f t="shared" si="3"/>
        <v>1684756</v>
      </c>
      <c r="I31" s="16">
        <v>13340292</v>
      </c>
      <c r="J31" s="16">
        <v>247811439</v>
      </c>
      <c r="K31" s="16">
        <f>603210+178078+303248</f>
        <v>1084536</v>
      </c>
      <c r="L31" s="16">
        <v>1446</v>
      </c>
      <c r="M31" s="16">
        <v>18576668</v>
      </c>
    </row>
    <row r="32" spans="1:13" s="15" customFormat="1" ht="12.75">
      <c r="A32" s="17" t="s">
        <v>53</v>
      </c>
      <c r="B32" s="17"/>
      <c r="C32" s="16">
        <v>5482089</v>
      </c>
      <c r="D32" s="18">
        <v>7.3</v>
      </c>
      <c r="E32" s="18">
        <v>0.65</v>
      </c>
      <c r="F32" s="16">
        <v>53852045</v>
      </c>
      <c r="G32" s="16">
        <f t="shared" si="2"/>
        <v>53958456</v>
      </c>
      <c r="H32" s="15">
        <f t="shared" si="3"/>
        <v>106411</v>
      </c>
      <c r="I32" s="16">
        <v>686919</v>
      </c>
      <c r="J32" s="16">
        <v>38321139</v>
      </c>
      <c r="K32" s="16">
        <f>1442515+2662672+3080590+2590069</f>
        <v>9775846</v>
      </c>
      <c r="L32" s="16">
        <v>288673</v>
      </c>
      <c r="M32" s="16">
        <v>5572798</v>
      </c>
    </row>
    <row r="33" spans="1:13" s="16" customFormat="1" ht="12.75">
      <c r="A33" s="17" t="s">
        <v>24</v>
      </c>
      <c r="B33" s="17"/>
      <c r="C33" s="16">
        <v>47812613</v>
      </c>
      <c r="D33" s="18">
        <v>9.73</v>
      </c>
      <c r="E33" s="18">
        <v>0.06</v>
      </c>
      <c r="F33" s="16">
        <v>752092506</v>
      </c>
      <c r="G33" s="15">
        <f t="shared" si="1"/>
        <v>768439791</v>
      </c>
      <c r="H33" s="15">
        <f t="shared" si="0"/>
        <v>16347285</v>
      </c>
      <c r="I33" s="16">
        <v>2092850</v>
      </c>
      <c r="J33" s="16">
        <v>690403885</v>
      </c>
      <c r="K33" s="16">
        <f>630687+6004634+1645676+5655984</f>
        <v>13936981</v>
      </c>
      <c r="L33" s="16">
        <v>0</v>
      </c>
      <c r="M33" s="16">
        <v>64098925</v>
      </c>
    </row>
    <row r="34" spans="1:13" s="16" customFormat="1" ht="12.75">
      <c r="A34" s="17" t="s">
        <v>23</v>
      </c>
      <c r="B34" s="17"/>
      <c r="C34" s="16">
        <v>2442325</v>
      </c>
      <c r="D34" s="18">
        <v>5.94</v>
      </c>
      <c r="E34" s="18">
        <v>0.24</v>
      </c>
      <c r="F34" s="16">
        <v>37619852</v>
      </c>
      <c r="G34" s="16">
        <f t="shared" si="1"/>
        <v>42666498</v>
      </c>
      <c r="H34" s="15">
        <f>G34-F34</f>
        <v>5046646</v>
      </c>
      <c r="I34" s="16">
        <v>83054</v>
      </c>
      <c r="J34" s="16">
        <v>35177527</v>
      </c>
      <c r="K34" s="16">
        <v>0</v>
      </c>
      <c r="L34" s="16">
        <v>0</v>
      </c>
      <c r="M34" s="16">
        <v>7488971</v>
      </c>
    </row>
    <row r="35" spans="1:13" s="16" customFormat="1" ht="12.75">
      <c r="A35" s="26" t="s">
        <v>15</v>
      </c>
      <c r="B35" s="26"/>
      <c r="C35" s="27">
        <f>SUM(C8:C34)</f>
        <v>721222981</v>
      </c>
      <c r="D35" s="28"/>
      <c r="E35" s="28"/>
      <c r="F35" s="27">
        <f aca="true" t="shared" si="4" ref="F35:K35">SUM(F8:F34)</f>
        <v>9707798895</v>
      </c>
      <c r="G35" s="27">
        <f t="shared" si="4"/>
        <v>9966756937</v>
      </c>
      <c r="H35" s="27">
        <f t="shared" si="4"/>
        <v>258958042</v>
      </c>
      <c r="I35" s="27">
        <f t="shared" si="4"/>
        <v>125413687</v>
      </c>
      <c r="J35" s="27">
        <f t="shared" si="4"/>
        <v>8479573721</v>
      </c>
      <c r="K35" s="27">
        <f t="shared" si="4"/>
        <v>563781068</v>
      </c>
      <c r="L35" s="27">
        <f>SUM(L8:L34)</f>
        <v>10508876</v>
      </c>
      <c r="M35" s="27">
        <f>SUM(M8:M34)</f>
        <v>912893272</v>
      </c>
    </row>
    <row r="36" spans="1:13" s="16" customFormat="1" ht="12.75">
      <c r="A36" s="29"/>
      <c r="B36" s="29"/>
      <c r="D36" s="18"/>
      <c r="E36" s="18"/>
      <c r="M36" s="22"/>
    </row>
    <row r="37" spans="1:13" s="15" customFormat="1" ht="12.75">
      <c r="A37" s="17" t="s">
        <v>17</v>
      </c>
      <c r="B37" s="19"/>
      <c r="C37" s="16">
        <v>3996462</v>
      </c>
      <c r="D37" s="18">
        <v>2.4</v>
      </c>
      <c r="E37" s="18">
        <v>0.23</v>
      </c>
      <c r="F37" s="16">
        <v>41890211</v>
      </c>
      <c r="G37" s="16">
        <f>+J37+K37+L37+M37</f>
        <v>48772050</v>
      </c>
      <c r="H37" s="15">
        <f>G37-F37</f>
        <v>6881839</v>
      </c>
      <c r="I37" s="16">
        <v>2500699</v>
      </c>
      <c r="J37" s="16">
        <v>37504609</v>
      </c>
      <c r="K37" s="16">
        <f>308175+80965</f>
        <v>389140</v>
      </c>
      <c r="L37" s="16">
        <v>0</v>
      </c>
      <c r="M37" s="16">
        <v>10878301</v>
      </c>
    </row>
    <row r="38" spans="1:13" s="16" customFormat="1" ht="12.75">
      <c r="A38" s="30" t="s">
        <v>36</v>
      </c>
      <c r="B38" s="30"/>
      <c r="C38" s="27">
        <v>3996462</v>
      </c>
      <c r="D38" s="28"/>
      <c r="E38" s="28"/>
      <c r="F38" s="27">
        <v>41890211</v>
      </c>
      <c r="G38" s="27">
        <f aca="true" t="shared" si="5" ref="G38:M38">SUM(G37:G37)</f>
        <v>48772050</v>
      </c>
      <c r="H38" s="27">
        <f t="shared" si="5"/>
        <v>6881839</v>
      </c>
      <c r="I38" s="27">
        <v>2500699</v>
      </c>
      <c r="J38" s="31">
        <f t="shared" si="5"/>
        <v>37504609</v>
      </c>
      <c r="K38" s="31">
        <f t="shared" si="5"/>
        <v>389140</v>
      </c>
      <c r="L38" s="27">
        <f t="shared" si="5"/>
        <v>0</v>
      </c>
      <c r="M38" s="27">
        <f t="shared" si="5"/>
        <v>10878301</v>
      </c>
    </row>
    <row r="39" spans="4:13" s="16" customFormat="1" ht="12.75">
      <c r="D39" s="18"/>
      <c r="E39" s="18"/>
      <c r="I39" s="15"/>
      <c r="J39" s="15"/>
      <c r="K39" s="15"/>
      <c r="M39" s="22"/>
    </row>
    <row r="40" spans="1:13" s="16" customFormat="1" ht="12.75">
      <c r="A40" s="32" t="s">
        <v>8</v>
      </c>
      <c r="B40" s="32"/>
      <c r="C40" s="33">
        <f>C35+C38</f>
        <v>725219443</v>
      </c>
      <c r="D40" s="34"/>
      <c r="E40" s="34"/>
      <c r="F40" s="33">
        <f aca="true" t="shared" si="6" ref="F40:M40">F35+F38</f>
        <v>9749689106</v>
      </c>
      <c r="G40" s="33">
        <f t="shared" si="6"/>
        <v>10015528987</v>
      </c>
      <c r="H40" s="33">
        <f t="shared" si="6"/>
        <v>265839881</v>
      </c>
      <c r="I40" s="33">
        <f t="shared" si="6"/>
        <v>127914386</v>
      </c>
      <c r="J40" s="35">
        <f t="shared" si="6"/>
        <v>8517078330</v>
      </c>
      <c r="K40" s="35">
        <f t="shared" si="6"/>
        <v>564170208</v>
      </c>
      <c r="L40" s="33">
        <f t="shared" si="6"/>
        <v>10508876</v>
      </c>
      <c r="M40" s="33">
        <f t="shared" si="6"/>
        <v>923771573</v>
      </c>
    </row>
    <row r="41" spans="1:13" s="16" customFormat="1" ht="25.5" customHeight="1">
      <c r="A41" s="41" t="s">
        <v>55</v>
      </c>
      <c r="B41" s="47" t="s">
        <v>54</v>
      </c>
      <c r="C41" s="47"/>
      <c r="D41" s="47"/>
      <c r="E41" s="47"/>
      <c r="F41" s="47"/>
      <c r="G41" s="47"/>
      <c r="H41" s="47"/>
      <c r="I41" s="47"/>
      <c r="J41" s="47"/>
      <c r="K41" s="47"/>
      <c r="L41" s="47"/>
      <c r="M41" s="48"/>
    </row>
    <row r="42" spans="1:13" s="16" customFormat="1" ht="13.5" customHeight="1">
      <c r="A42" s="36"/>
      <c r="B42" s="17"/>
      <c r="C42" s="17"/>
      <c r="D42" s="17"/>
      <c r="E42" s="17"/>
      <c r="F42" s="17"/>
      <c r="G42" s="17"/>
      <c r="H42" s="17"/>
      <c r="I42" s="17"/>
      <c r="J42" s="17"/>
      <c r="K42" s="17"/>
      <c r="L42" s="17"/>
      <c r="M42" s="17"/>
    </row>
    <row r="43" spans="1:13" s="16" customFormat="1" ht="12.75" customHeight="1">
      <c r="A43" s="37"/>
      <c r="B43" s="17" t="s">
        <v>47</v>
      </c>
      <c r="C43" s="17"/>
      <c r="D43" s="17"/>
      <c r="E43" s="17"/>
      <c r="F43" s="17"/>
      <c r="G43" s="17"/>
      <c r="H43" s="17"/>
      <c r="I43" s="17"/>
      <c r="J43" s="17"/>
      <c r="K43" s="17"/>
      <c r="L43" s="17"/>
      <c r="M43" s="17"/>
    </row>
    <row r="44" spans="1:13" s="16" customFormat="1" ht="12.75" customHeight="1">
      <c r="A44" s="37"/>
      <c r="B44" s="17"/>
      <c r="C44" s="17"/>
      <c r="D44" s="17"/>
      <c r="E44" s="17"/>
      <c r="F44" s="17"/>
      <c r="G44" s="17"/>
      <c r="H44" s="17"/>
      <c r="I44" s="17"/>
      <c r="J44" s="17"/>
      <c r="K44" s="17"/>
      <c r="L44" s="17"/>
      <c r="M44" s="17"/>
    </row>
    <row r="45" spans="1:13" s="16" customFormat="1" ht="12.75">
      <c r="A45" s="37"/>
      <c r="B45" s="17"/>
      <c r="C45" s="17"/>
      <c r="D45" s="17"/>
      <c r="E45" s="17"/>
      <c r="F45" s="17"/>
      <c r="G45" s="17"/>
      <c r="H45" s="17"/>
      <c r="I45" s="17"/>
      <c r="J45" s="17"/>
      <c r="K45" s="17"/>
      <c r="L45" s="17"/>
      <c r="M45" s="17"/>
    </row>
    <row r="46" spans="1:13" s="16" customFormat="1" ht="12.75">
      <c r="A46" s="37"/>
      <c r="B46" s="17"/>
      <c r="C46" s="17"/>
      <c r="D46" s="17"/>
      <c r="E46" s="17"/>
      <c r="F46" s="17"/>
      <c r="G46" s="17"/>
      <c r="H46" s="17"/>
      <c r="I46" s="17"/>
      <c r="J46" s="17"/>
      <c r="K46" s="17"/>
      <c r="L46" s="17"/>
      <c r="M46" s="17"/>
    </row>
    <row r="47" spans="1:13" s="16" customFormat="1" ht="12.75">
      <c r="A47" s="22"/>
      <c r="B47" s="17"/>
      <c r="C47" s="17"/>
      <c r="D47" s="17"/>
      <c r="E47" s="17"/>
      <c r="F47" s="17"/>
      <c r="G47" s="17"/>
      <c r="H47" s="17"/>
      <c r="I47" s="17"/>
      <c r="J47" s="17"/>
      <c r="K47" s="17"/>
      <c r="L47" s="17"/>
      <c r="M47" s="17"/>
    </row>
    <row r="48" spans="1:5" s="16" customFormat="1" ht="12.75">
      <c r="A48" s="22"/>
      <c r="B48" s="17"/>
      <c r="C48" s="19"/>
      <c r="D48" s="18"/>
      <c r="E48" s="18"/>
    </row>
    <row r="49" spans="1:5" s="16" customFormat="1" ht="12.75">
      <c r="A49" s="22"/>
      <c r="B49" s="17"/>
      <c r="C49" s="17"/>
      <c r="D49" s="18"/>
      <c r="E49" s="18"/>
    </row>
    <row r="50" spans="1:6" s="16" customFormat="1" ht="12.75">
      <c r="A50" s="22"/>
      <c r="B50" s="17"/>
      <c r="C50" s="17"/>
      <c r="D50" s="18"/>
      <c r="E50" s="18"/>
      <c r="F50" s="16" t="s">
        <v>37</v>
      </c>
    </row>
    <row r="51" spans="2:5" s="16" customFormat="1" ht="12.75">
      <c r="B51" s="17"/>
      <c r="C51" s="17"/>
      <c r="D51" s="18"/>
      <c r="E51" s="18"/>
    </row>
    <row r="52" spans="2:5" s="16" customFormat="1" ht="12.75">
      <c r="B52" s="19"/>
      <c r="C52" s="19"/>
      <c r="D52" s="18"/>
      <c r="E52" s="18"/>
    </row>
    <row r="53" spans="4:5" s="16" customFormat="1" ht="12.75">
      <c r="D53" s="18"/>
      <c r="E53" s="18"/>
    </row>
    <row r="54" spans="4:5" s="16" customFormat="1" ht="12.75">
      <c r="D54" s="18"/>
      <c r="E54" s="18"/>
    </row>
    <row r="55" spans="4:5" s="16" customFormat="1" ht="12.75">
      <c r="D55" s="18"/>
      <c r="E55" s="18"/>
    </row>
    <row r="56" spans="4:5" s="16" customFormat="1" ht="12.75">
      <c r="D56" s="18"/>
      <c r="E56" s="18"/>
    </row>
    <row r="57" spans="4:5" s="16" customFormat="1" ht="12.75">
      <c r="D57" s="18"/>
      <c r="E57" s="18"/>
    </row>
    <row r="58" spans="4:5" s="16" customFormat="1" ht="12.75">
      <c r="D58" s="18"/>
      <c r="E58" s="18"/>
    </row>
    <row r="59" spans="4:5" s="16" customFormat="1" ht="12.75">
      <c r="D59" s="18"/>
      <c r="E59" s="18"/>
    </row>
    <row r="60" spans="4:5" s="16" customFormat="1" ht="12.75">
      <c r="D60" s="18"/>
      <c r="E60" s="18"/>
    </row>
    <row r="61" spans="4:5" s="16" customFormat="1" ht="12.75">
      <c r="D61" s="18"/>
      <c r="E61" s="18"/>
    </row>
    <row r="62" spans="4:5" s="16" customFormat="1" ht="12.75">
      <c r="D62" s="18"/>
      <c r="E62" s="18"/>
    </row>
    <row r="63" spans="4:5" s="16" customFormat="1" ht="12.75">
      <c r="D63" s="18"/>
      <c r="E63" s="18"/>
    </row>
    <row r="64" spans="4:5" s="16" customFormat="1" ht="12.75">
      <c r="D64" s="18"/>
      <c r="E64" s="18"/>
    </row>
    <row r="65" spans="4:5" s="16" customFormat="1" ht="12.75">
      <c r="D65" s="18"/>
      <c r="E65" s="18"/>
    </row>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sheetData>
  <mergeCells count="4">
    <mergeCell ref="A13:B13"/>
    <mergeCell ref="D4:E4"/>
    <mergeCell ref="A8:B8"/>
    <mergeCell ref="B41:M41"/>
  </mergeCells>
  <printOptions/>
  <pageMargins left="0.7" right="0.3937007874015748" top="0.5905511811023623" bottom="0.1968503937007874" header="0.1968503937007874" footer="0"/>
  <pageSetup fitToHeight="1" fitToWidth="1"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sheetPr codeName="Hoja2">
    <tabColor indexed="40"/>
    <pageSetUpPr fitToPage="1"/>
  </sheetPr>
  <dimension ref="A1:K42"/>
  <sheetViews>
    <sheetView workbookViewId="0" topLeftCell="A1">
      <selection activeCell="A13" sqref="A13"/>
    </sheetView>
  </sheetViews>
  <sheetFormatPr defaultColWidth="11.421875" defaultRowHeight="12.75"/>
  <cols>
    <col min="1" max="1" width="11.851562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ht="12.75">
      <c r="A1" s="49"/>
    </row>
    <row r="2" spans="1:6" ht="12.75">
      <c r="A2" s="49"/>
      <c r="F2" s="50"/>
    </row>
    <row r="3" spans="1:11" ht="12.75">
      <c r="A3" s="51" t="s">
        <v>56</v>
      </c>
      <c r="B3" s="52"/>
      <c r="C3" s="52"/>
      <c r="D3" s="52"/>
      <c r="E3" s="52"/>
      <c r="F3" s="52"/>
      <c r="G3" s="52"/>
      <c r="H3" s="52"/>
      <c r="I3" s="52"/>
      <c r="J3" s="52"/>
      <c r="K3" s="52"/>
    </row>
    <row r="4" spans="1:11" ht="12.75">
      <c r="A4" s="53" t="s">
        <v>49</v>
      </c>
      <c r="B4" s="52"/>
      <c r="C4" s="52"/>
      <c r="D4" s="52"/>
      <c r="E4" s="52"/>
      <c r="F4" s="52"/>
      <c r="G4" s="52"/>
      <c r="H4" s="52"/>
      <c r="I4" s="52"/>
      <c r="J4" s="52"/>
      <c r="K4" s="52"/>
    </row>
    <row r="5" spans="1:11" ht="12.75">
      <c r="A5" s="52"/>
      <c r="B5" s="52"/>
      <c r="C5" s="52"/>
      <c r="D5" s="52"/>
      <c r="E5" s="52"/>
      <c r="F5" s="52"/>
      <c r="G5" s="52"/>
      <c r="H5" s="52"/>
      <c r="I5" s="52"/>
      <c r="J5" s="52"/>
      <c r="K5" s="52"/>
    </row>
    <row r="6" spans="1:11" s="54" customFormat="1" ht="12.75">
      <c r="A6" s="52" t="s">
        <v>57</v>
      </c>
      <c r="B6" s="52"/>
      <c r="C6" s="52"/>
      <c r="D6" s="52"/>
      <c r="E6" s="52"/>
      <c r="F6" s="52"/>
      <c r="G6" s="52"/>
      <c r="H6" s="52"/>
      <c r="I6" s="52"/>
      <c r="J6" s="52"/>
      <c r="K6" s="52"/>
    </row>
    <row r="7" spans="1:11" ht="12.75">
      <c r="A7" s="10" t="s">
        <v>1</v>
      </c>
      <c r="B7" s="55"/>
      <c r="C7" s="55"/>
      <c r="D7" s="56" t="s">
        <v>58</v>
      </c>
      <c r="E7" s="57"/>
      <c r="F7" s="58" t="s">
        <v>59</v>
      </c>
      <c r="G7" s="58" t="s">
        <v>6</v>
      </c>
      <c r="H7" s="59" t="s">
        <v>60</v>
      </c>
      <c r="I7" s="58" t="s">
        <v>59</v>
      </c>
      <c r="J7" s="58" t="s">
        <v>6</v>
      </c>
      <c r="K7" s="59" t="s">
        <v>60</v>
      </c>
    </row>
    <row r="8" spans="1:11" ht="12.75">
      <c r="A8" s="60"/>
      <c r="B8" s="60"/>
      <c r="C8" s="60"/>
      <c r="D8" s="5" t="s">
        <v>8</v>
      </c>
      <c r="E8" s="5" t="s">
        <v>9</v>
      </c>
      <c r="F8" s="61" t="s">
        <v>61</v>
      </c>
      <c r="G8" s="61" t="s">
        <v>62</v>
      </c>
      <c r="H8" s="61" t="s">
        <v>63</v>
      </c>
      <c r="I8" s="61" t="s">
        <v>64</v>
      </c>
      <c r="J8" s="61" t="s">
        <v>62</v>
      </c>
      <c r="K8" s="61" t="s">
        <v>63</v>
      </c>
    </row>
    <row r="9" spans="1:11" ht="12.75">
      <c r="A9" s="62"/>
      <c r="B9" s="62"/>
      <c r="C9" s="62"/>
      <c r="D9" s="62"/>
      <c r="E9" s="62"/>
      <c r="F9" s="63" t="s">
        <v>65</v>
      </c>
      <c r="G9" s="63" t="s">
        <v>66</v>
      </c>
      <c r="H9" s="63" t="s">
        <v>66</v>
      </c>
      <c r="I9" s="63" t="s">
        <v>2</v>
      </c>
      <c r="J9" s="64" t="s">
        <v>67</v>
      </c>
      <c r="K9" s="64" t="s">
        <v>67</v>
      </c>
    </row>
    <row r="10" spans="1:11" ht="12.75">
      <c r="A10" s="60"/>
      <c r="B10" s="60"/>
      <c r="C10" s="60"/>
      <c r="D10" s="65"/>
      <c r="E10" s="65"/>
      <c r="F10" s="66"/>
      <c r="G10" s="66"/>
      <c r="H10" s="66"/>
      <c r="I10" s="66"/>
      <c r="J10" s="67"/>
      <c r="K10" s="67"/>
    </row>
    <row r="11" spans="1:11" ht="12.75">
      <c r="A11" s="68" t="s">
        <v>68</v>
      </c>
      <c r="B11" s="69"/>
      <c r="C11" s="69"/>
      <c r="D11" s="70">
        <v>1.01</v>
      </c>
      <c r="E11" s="71">
        <v>0.002</v>
      </c>
      <c r="F11" s="72">
        <v>51010720</v>
      </c>
      <c r="G11" s="72">
        <f>49687130+1323590</f>
        <v>51010720</v>
      </c>
      <c r="H11" s="72">
        <f>G11-F11</f>
        <v>0</v>
      </c>
      <c r="I11" s="72">
        <v>50608063</v>
      </c>
      <c r="J11" s="72">
        <v>50643764</v>
      </c>
      <c r="K11" s="72">
        <f>J11-I11</f>
        <v>35701</v>
      </c>
    </row>
    <row r="12" spans="1:11" ht="12.75">
      <c r="A12" s="73" t="s">
        <v>69</v>
      </c>
      <c r="B12" s="69"/>
      <c r="C12" s="69"/>
      <c r="D12" s="70">
        <v>0.54</v>
      </c>
      <c r="E12" s="71">
        <v>0.031</v>
      </c>
      <c r="F12" s="72">
        <v>15928593</v>
      </c>
      <c r="G12" s="72">
        <f>480616+11115618+4332359</f>
        <v>15928593</v>
      </c>
      <c r="H12" s="72">
        <f>G12-F12</f>
        <v>0</v>
      </c>
      <c r="I12" s="72">
        <v>31282783</v>
      </c>
      <c r="J12" s="72">
        <v>32208615</v>
      </c>
      <c r="K12" s="72">
        <f>J12-I12</f>
        <v>925832</v>
      </c>
    </row>
    <row r="13" spans="1:11" ht="12.75">
      <c r="A13" s="60"/>
      <c r="B13" s="60"/>
      <c r="C13" s="60"/>
      <c r="D13" s="74"/>
      <c r="E13" s="65"/>
      <c r="F13" s="72"/>
      <c r="G13" s="72"/>
      <c r="H13" s="72"/>
      <c r="I13" s="72"/>
      <c r="J13" s="72"/>
      <c r="K13" s="72"/>
    </row>
    <row r="14" spans="1:11" ht="12.75">
      <c r="A14" s="52"/>
      <c r="B14" s="52"/>
      <c r="C14" s="52"/>
      <c r="D14" s="75"/>
      <c r="E14" s="75"/>
      <c r="F14" s="76"/>
      <c r="G14" s="76"/>
      <c r="H14" s="76"/>
      <c r="I14" s="76"/>
      <c r="J14" s="76"/>
      <c r="K14" s="76"/>
    </row>
    <row r="15" spans="1:11" ht="12.75">
      <c r="A15" s="77" t="s">
        <v>70</v>
      </c>
      <c r="B15" s="52"/>
      <c r="C15" s="52"/>
      <c r="D15" s="75"/>
      <c r="E15" s="75"/>
      <c r="F15" s="76"/>
      <c r="G15" s="76"/>
      <c r="H15" s="76"/>
      <c r="I15" s="76"/>
      <c r="J15" s="76"/>
      <c r="K15" s="76"/>
    </row>
    <row r="16" spans="1:11" s="60" customFormat="1" ht="10.5">
      <c r="A16" s="10" t="s">
        <v>1</v>
      </c>
      <c r="B16" s="55"/>
      <c r="C16" s="55"/>
      <c r="D16" s="56" t="s">
        <v>58</v>
      </c>
      <c r="E16" s="78"/>
      <c r="F16" s="7" t="s">
        <v>71</v>
      </c>
      <c r="G16" s="7" t="s">
        <v>3</v>
      </c>
      <c r="H16" s="6" t="s">
        <v>6</v>
      </c>
      <c r="I16" s="6" t="s">
        <v>72</v>
      </c>
      <c r="J16" s="72"/>
      <c r="K16" s="72"/>
    </row>
    <row r="17" spans="4:11" s="60" customFormat="1" ht="10.5">
      <c r="D17" s="5" t="s">
        <v>8</v>
      </c>
      <c r="E17" s="5" t="s">
        <v>9</v>
      </c>
      <c r="F17" s="2" t="s">
        <v>73</v>
      </c>
      <c r="G17" s="2" t="s">
        <v>73</v>
      </c>
      <c r="H17" s="79" t="s">
        <v>74</v>
      </c>
      <c r="I17" s="79" t="s">
        <v>63</v>
      </c>
      <c r="J17" s="72"/>
      <c r="K17" s="72"/>
    </row>
    <row r="18" spans="4:11" s="60" customFormat="1" ht="10.5">
      <c r="D18" s="65"/>
      <c r="E18" s="65"/>
      <c r="F18" s="2" t="s">
        <v>75</v>
      </c>
      <c r="G18" s="79" t="s">
        <v>76</v>
      </c>
      <c r="H18" s="2" t="s">
        <v>77</v>
      </c>
      <c r="I18" s="79" t="s">
        <v>78</v>
      </c>
      <c r="J18" s="72"/>
      <c r="K18" s="72"/>
    </row>
    <row r="19" spans="1:11" s="60" customFormat="1" ht="10.5">
      <c r="A19" s="62"/>
      <c r="B19" s="62"/>
      <c r="C19" s="62"/>
      <c r="D19" s="80"/>
      <c r="E19" s="80"/>
      <c r="F19" s="21" t="s">
        <v>79</v>
      </c>
      <c r="G19" s="21" t="s">
        <v>80</v>
      </c>
      <c r="H19" s="21" t="s">
        <v>81</v>
      </c>
      <c r="I19" s="21" t="s">
        <v>81</v>
      </c>
      <c r="J19" s="72"/>
      <c r="K19" s="72"/>
    </row>
    <row r="20" spans="1:11" ht="12.75">
      <c r="A20" s="60"/>
      <c r="B20" s="60"/>
      <c r="C20" s="52"/>
      <c r="D20" s="75"/>
      <c r="E20" s="75"/>
      <c r="F20" s="76"/>
      <c r="G20" s="76"/>
      <c r="H20" s="76"/>
      <c r="I20" s="76"/>
      <c r="J20" s="76"/>
      <c r="K20" s="76"/>
    </row>
    <row r="21" spans="1:11" s="60" customFormat="1" ht="12.75">
      <c r="A21" s="69" t="s">
        <v>82</v>
      </c>
      <c r="D21" s="70">
        <v>2.39</v>
      </c>
      <c r="E21" s="71">
        <v>0.033</v>
      </c>
      <c r="F21" s="72">
        <v>46359439</v>
      </c>
      <c r="G21" s="72">
        <v>23363911</v>
      </c>
      <c r="H21" s="72">
        <v>70188345</v>
      </c>
      <c r="I21" s="72">
        <f>+H21-G21-F21</f>
        <v>464995</v>
      </c>
      <c r="J21" s="72"/>
      <c r="K21" s="72"/>
    </row>
    <row r="22" spans="1:11" ht="12.75">
      <c r="A22" s="52"/>
      <c r="B22" s="52"/>
      <c r="C22" s="52"/>
      <c r="D22" s="75"/>
      <c r="E22" s="75"/>
      <c r="F22" s="76"/>
      <c r="G22" s="76"/>
      <c r="H22" s="76"/>
      <c r="I22" s="76"/>
      <c r="J22" s="76"/>
      <c r="K22" s="76"/>
    </row>
    <row r="23" spans="1:11" ht="12.75">
      <c r="A23" s="52"/>
      <c r="B23" s="52"/>
      <c r="C23" s="52"/>
      <c r="D23" s="75"/>
      <c r="E23" s="75"/>
      <c r="F23" s="76"/>
      <c r="G23" s="76"/>
      <c r="H23" s="76"/>
      <c r="I23" s="76"/>
      <c r="J23" s="76"/>
      <c r="K23" s="76"/>
    </row>
    <row r="24" spans="1:11" ht="12.75">
      <c r="A24" s="52"/>
      <c r="B24" s="52"/>
      <c r="C24" s="52"/>
      <c r="D24" s="52"/>
      <c r="E24" s="52"/>
      <c r="F24" s="52"/>
      <c r="G24" s="52"/>
      <c r="H24" s="52"/>
      <c r="I24" s="52"/>
      <c r="J24" s="52"/>
      <c r="K24" s="52"/>
    </row>
    <row r="25" spans="1:11" ht="12.75">
      <c r="A25" s="52"/>
      <c r="B25" s="81"/>
      <c r="C25" s="81"/>
      <c r="D25" s="81"/>
      <c r="E25" s="81"/>
      <c r="F25" s="81"/>
      <c r="G25" s="81"/>
      <c r="H25" s="81"/>
      <c r="I25" s="81"/>
      <c r="J25" s="81"/>
      <c r="K25" s="81"/>
    </row>
    <row r="26" spans="1:11" ht="12.75">
      <c r="A26" s="81"/>
      <c r="B26" s="81"/>
      <c r="C26" s="81"/>
      <c r="D26" s="81"/>
      <c r="E26" s="81"/>
      <c r="F26" s="81"/>
      <c r="G26" s="81"/>
      <c r="H26" s="81"/>
      <c r="I26" s="81"/>
      <c r="J26" s="81"/>
      <c r="K26" s="81"/>
    </row>
    <row r="27" spans="1:11" ht="12.75">
      <c r="A27" s="81"/>
      <c r="B27" s="81"/>
      <c r="C27" s="81"/>
      <c r="D27" s="81"/>
      <c r="E27" s="81"/>
      <c r="F27" s="81"/>
      <c r="G27" s="81"/>
      <c r="H27" s="81"/>
      <c r="I27" s="81"/>
      <c r="J27" s="81"/>
      <c r="K27" s="81"/>
    </row>
    <row r="28" spans="1:11" ht="12.75">
      <c r="A28" s="81"/>
      <c r="B28" s="81"/>
      <c r="C28" s="81"/>
      <c r="D28" s="81"/>
      <c r="E28" s="81"/>
      <c r="F28" s="81"/>
      <c r="G28" s="81"/>
      <c r="H28" s="81"/>
      <c r="I28" s="81"/>
      <c r="J28" s="81"/>
      <c r="K28" s="81"/>
    </row>
    <row r="42" ht="12.75">
      <c r="A42">
        <f>22701586+55852</f>
        <v>22757438</v>
      </c>
    </row>
  </sheetData>
  <printOptions/>
  <pageMargins left="1.4960629921259843" right="0.7480314960629921" top="0.4724409448818898" bottom="0.6299212598425197" header="0" footer="0"/>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AAAlvara</cp:lastModifiedBy>
  <cp:lastPrinted>2004-09-21T19:02:00Z</cp:lastPrinted>
  <dcterms:created xsi:type="dcterms:W3CDTF">1998-12-29T20:15:03Z</dcterms:created>
  <dcterms:modified xsi:type="dcterms:W3CDTF">2004-09-22T16:29:49Z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-832310277</vt:i4>
  </property>
  <property fmtid="{D5CDD505-2E9C-101B-9397-08002B2CF9AE}" pid="3" name="_EmailSubject">
    <vt:lpwstr>CUMPLIMIENTO DE NORMAS VIDA Y MUTUALIDADES</vt:lpwstr>
  </property>
  <property fmtid="{D5CDD505-2E9C-101B-9397-08002B2CF9AE}" pid="4" name="_AuthorEmail">
    <vt:lpwstr>AAAlvarado@svs.cl</vt:lpwstr>
  </property>
  <property fmtid="{D5CDD505-2E9C-101B-9397-08002B2CF9AE}" pid="5" name="_AuthorEmailDisplayName">
    <vt:lpwstr>Alvarado Bravo Alejandro</vt:lpwstr>
  </property>
  <property fmtid="{D5CDD505-2E9C-101B-9397-08002B2CF9AE}" pid="6" name="_PreviousAdHocReviewCycleID">
    <vt:i4>-672343305</vt:i4>
  </property>
</Properties>
</file>