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570" windowHeight="5475" activeTab="0"/>
  </bookViews>
  <sheets>
    <sheet name="CUMPV" sheetId="1" r:id="rId1"/>
    <sheet name="CMUTUAL" sheetId="2" r:id="rId2"/>
  </sheets>
  <definedNames>
    <definedName name="_xlnm.Print_Area" localSheetId="1">'CMUTUAL'!$A$1:$K$21</definedName>
    <definedName name="_xlnm.Print_Area" localSheetId="0">'CUMPV'!$A$1:$M$43</definedName>
  </definedNames>
  <calcPr fullCalcOnLoad="1"/>
</workbook>
</file>

<file path=xl/sharedStrings.xml><?xml version="1.0" encoding="utf-8"?>
<sst xmlns="http://schemas.openxmlformats.org/spreadsheetml/2006/main" count="112" uniqueCount="85">
  <si>
    <t>CUMPLIMIENTO DE NORMAS</t>
  </si>
  <si>
    <t>SEGUROS DE VIDA</t>
  </si>
  <si>
    <t>SOCIEDAD</t>
  </si>
  <si>
    <t>PATRIMONIO</t>
  </si>
  <si>
    <t>OBLIGACION DE</t>
  </si>
  <si>
    <t>INVER.REPRES.</t>
  </si>
  <si>
    <t>SUPERAV.(DEF) DE</t>
  </si>
  <si>
    <t>INVERSIONES</t>
  </si>
  <si>
    <t>DE RIESGO</t>
  </si>
  <si>
    <t>TOTAL</t>
  </si>
  <si>
    <t>FINANC.</t>
  </si>
  <si>
    <t>INVERTIR LAS RES.</t>
  </si>
  <si>
    <t>DE RES.TEC Y PAT.</t>
  </si>
  <si>
    <t>INV.REPRES.DE RES.</t>
  </si>
  <si>
    <t>REPRESENTATIVAS</t>
  </si>
  <si>
    <t>TEC. Y PAT.RIESGO</t>
  </si>
  <si>
    <t xml:space="preserve">TOTAL ASEGURADORAS    </t>
  </si>
  <si>
    <t>ENDEUDAMIENTO</t>
  </si>
  <si>
    <t>Caja Reaseguradora</t>
  </si>
  <si>
    <t>Chilena Consolidada</t>
  </si>
  <si>
    <t>Consorcio Nacional</t>
  </si>
  <si>
    <t>Cruz del Sur</t>
  </si>
  <si>
    <t>Interamericana</t>
  </si>
  <si>
    <t>Renta Nacional</t>
  </si>
  <si>
    <t xml:space="preserve">Vida Corp  </t>
  </si>
  <si>
    <t>PAT. RIESGO</t>
  </si>
  <si>
    <t>RES. PREVIS.</t>
  </si>
  <si>
    <t>RES. NO PREVIS.</t>
  </si>
  <si>
    <t>RES. ADIC.</t>
  </si>
  <si>
    <t>INVERSIONES NO</t>
  </si>
  <si>
    <t>BBVA</t>
  </si>
  <si>
    <t xml:space="preserve">Cigna   </t>
  </si>
  <si>
    <t xml:space="preserve">Mapfre  </t>
  </si>
  <si>
    <t xml:space="preserve">Huelén </t>
  </si>
  <si>
    <t xml:space="preserve">Construcción   </t>
  </si>
  <si>
    <t>Banchile</t>
  </si>
  <si>
    <t>Security Previsión</t>
  </si>
  <si>
    <t>TOTAL REASEGURADORAS</t>
  </si>
  <si>
    <t xml:space="preserve">  </t>
  </si>
  <si>
    <t>Altavida</t>
  </si>
  <si>
    <t>CN Life</t>
  </si>
  <si>
    <t xml:space="preserve">Euroamérica </t>
  </si>
  <si>
    <t>Bci</t>
  </si>
  <si>
    <t xml:space="preserve">ING </t>
  </si>
  <si>
    <t>Interrrentas</t>
  </si>
  <si>
    <t>Principal</t>
  </si>
  <si>
    <t xml:space="preserve">Cardif   </t>
  </si>
  <si>
    <t xml:space="preserve"> </t>
  </si>
  <si>
    <t>Penta</t>
  </si>
  <si>
    <t xml:space="preserve">ABN Amro </t>
  </si>
  <si>
    <t xml:space="preserve">Ace </t>
  </si>
  <si>
    <t>(al 30 de junio de 2005, montos expresados en miles de pesos)</t>
  </si>
  <si>
    <t>Bice (1)</t>
  </si>
  <si>
    <t>Ohio</t>
  </si>
  <si>
    <t>Metlife</t>
  </si>
  <si>
    <t>(1)</t>
  </si>
  <si>
    <t>La compañía presenta déficit de inversiones representativas de patrimonio de riesgo ascendente a M$4.195.981. De acuerdo a lo señalado por la aseguradora dicho déficit se produjo por una insuficiente diversificación de las inversiones en bonos de sociedades securitizadoras, situación que fue solucionada con fecha 13 de julio de 2005.</t>
  </si>
  <si>
    <t>MUTUALIDADES</t>
  </si>
  <si>
    <t>VENTAS INSTITUCIONALES EXCLUSIVAMENTE</t>
  </si>
  <si>
    <t xml:space="preserve">             ENDEUDAMIENTO</t>
  </si>
  <si>
    <t>OBLIGACION</t>
  </si>
  <si>
    <t>SUPERAVIT (DEF)</t>
  </si>
  <si>
    <t>DE INV.LAS</t>
  </si>
  <si>
    <t>REPRESENT.</t>
  </si>
  <si>
    <t>DE INV.REPRES.</t>
  </si>
  <si>
    <t>DE INV.EL</t>
  </si>
  <si>
    <t>R.TECNICAS</t>
  </si>
  <si>
    <t>DE RES.TEC</t>
  </si>
  <si>
    <t>DE PATRIMONIO</t>
  </si>
  <si>
    <t>Mutualidad de Carabineros</t>
  </si>
  <si>
    <t>Mutualidad del Ejército y Aviación</t>
  </si>
  <si>
    <t>VENTAS INSTITUCIONALES Y NO INSTITUCIONALES SIMULTANEAMENTE</t>
  </si>
  <si>
    <t xml:space="preserve">OBLIGACION DE </t>
  </si>
  <si>
    <t xml:space="preserve">INVERSIONES </t>
  </si>
  <si>
    <t>SUPERAVIT (DEFICIT)</t>
  </si>
  <si>
    <t xml:space="preserve"> INV.LAS R.TEC.</t>
  </si>
  <si>
    <t>TOTALES</t>
  </si>
  <si>
    <t>Y  PAT.RIESGO</t>
  </si>
  <si>
    <t>Y  PATRIMONIO</t>
  </si>
  <si>
    <t>REPRES.DE R.TECN.</t>
  </si>
  <si>
    <t>DE RES.TECNICAS</t>
  </si>
  <si>
    <t>VENTAS NO INST.</t>
  </si>
  <si>
    <t>VENTAS INST.</t>
  </si>
  <si>
    <t>Y PATRIMONIO</t>
  </si>
  <si>
    <t>Mutual de Seguros</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</si>
</sst>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Ch$&quot;#,##0_);\(&quot;Ch$&quot;#,##0\)"/>
    <numFmt numFmtId="187" formatCode="&quot;Ch$&quot;#,##0_);[Red]\(&quot;Ch$&quot;#,##0\)"/>
    <numFmt numFmtId="188" formatCode="&quot;Ch$&quot;#,##0.00_);\(&quot;Ch$&quot;#,##0.00\)"/>
    <numFmt numFmtId="189" formatCode="&quot;Ch$&quot;#,##0.00_);[Red]\(&quot;Ch$&quot;#,##0.00\)"/>
    <numFmt numFmtId="190" formatCode="_(&quot;Ch$&quot;* #,##0_);_(&quot;Ch$&quot;* \(#,##0\);_(&quot;Ch$&quot;* &quot;-&quot;_);_(@_)"/>
    <numFmt numFmtId="191" formatCode="_(&quot;Ch$&quot;* #,##0.00_);_(&quot;Ch$&quot;* \(#,##0.00\);_(&quot;Ch$&quot;*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0\ &quot;$&quot;_);\(#,##0\ &quot;$&quot;\)"/>
    <numFmt numFmtId="201" formatCode="#,##0\ &quot;$&quot;_);[Red]\(#,##0\ &quot;$&quot;\)"/>
    <numFmt numFmtId="202" formatCode="#,##0.00\ &quot;$&quot;_);\(#,##0.00\ &quot;$&quot;\)"/>
    <numFmt numFmtId="203" formatCode="#,##0.00\ &quot;$&quot;_);[Red]\(#,##0.00\ &quot;$&quot;\)"/>
    <numFmt numFmtId="204" formatCode="_ * #,##0_)\ &quot;$&quot;_ ;_ * \(#,##0\)\ &quot;$&quot;_ ;_ * &quot;-&quot;_)\ &quot;$&quot;_ ;_ @_ "/>
    <numFmt numFmtId="205" formatCode="_ * #,##0_)\ _$_ ;_ * \(#,##0\)\ _$_ ;_ * &quot;-&quot;_)\ _$_ ;_ @_ "/>
    <numFmt numFmtId="206" formatCode="_ * #,##0.00_)\ &quot;$&quot;_ ;_ * \(#,##0.00\)\ &quot;$&quot;_ ;_ * &quot;-&quot;??_)\ &quot;$&quot;_ ;_ @_ "/>
    <numFmt numFmtId="207" formatCode="_ * #,##0.00_)\ _$_ ;_ * \(#,##0.00\)\ _$_ ;_ * &quot;-&quot;??_)\ _$_ ;_ @_ "/>
    <numFmt numFmtId="208" formatCode="#,##0&quot; Pts&quot;;\-#,##0&quot; Pts&quot;"/>
    <numFmt numFmtId="209" formatCode="#,##0&quot; Pts&quot;;[Red]\-#,##0&quot; Pts&quot;"/>
    <numFmt numFmtId="210" formatCode="#,##0.00&quot; Pts&quot;;\-#,##0.00&quot; Pts&quot;"/>
    <numFmt numFmtId="211" formatCode="#,##0.00&quot; Pts&quot;;[Red]\-#,##0.00&quot; Pts&quot;"/>
    <numFmt numFmtId="212" formatCode="#,##0.000"/>
    <numFmt numFmtId="213" formatCode="0.00000000"/>
    <numFmt numFmtId="214" formatCode="0.0000000"/>
    <numFmt numFmtId="215" formatCode="0.000000"/>
    <numFmt numFmtId="216" formatCode="0.00000"/>
    <numFmt numFmtId="217" formatCode="0.0000"/>
    <numFmt numFmtId="218" formatCode="#,##0.0"/>
    <numFmt numFmtId="219" formatCode="0.000"/>
    <numFmt numFmtId="220" formatCode="0.0"/>
  </numFmts>
  <fonts count="11">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2"/>
    </font>
    <font>
      <sz val="10"/>
      <color indexed="10"/>
      <name val="MS Sans Serif"/>
      <family val="2"/>
    </font>
    <font>
      <u val="single"/>
      <sz val="8"/>
      <color indexed="12"/>
      <name val="MS Sans Serif"/>
      <family val="0"/>
    </font>
    <font>
      <u val="single"/>
      <sz val="8"/>
      <color indexed="36"/>
      <name val="MS Sans Serif"/>
      <family val="0"/>
    </font>
    <font>
      <b/>
      <sz val="9"/>
      <name val="MS Sans Serif"/>
      <family val="2"/>
    </font>
    <font>
      <sz val="10"/>
      <name val="Times New Roman"/>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3" fontId="0" fillId="0" borderId="0" xfId="0" applyNumberFormat="1" applyAlignment="1">
      <alignment horizontal="right"/>
    </xf>
    <xf numFmtId="3" fontId="4" fillId="0" borderId="0" xfId="0" applyNumberFormat="1" applyFont="1" applyAlignment="1" quotePrefix="1">
      <alignment horizontal="right"/>
    </xf>
    <xf numFmtId="3" fontId="0" fillId="0" borderId="0" xfId="0" applyNumberFormat="1" applyBorder="1" applyAlignment="1">
      <alignment horizontal="right"/>
    </xf>
    <xf numFmtId="3" fontId="4" fillId="0" borderId="0" xfId="0" applyNumberFormat="1" applyFont="1" applyBorder="1" applyAlignment="1" quotePrefix="1">
      <alignment horizontal="right"/>
    </xf>
    <xf numFmtId="3" fontId="4" fillId="0" borderId="0" xfId="0" applyNumberFormat="1" applyFont="1" applyBorder="1" applyAlignment="1">
      <alignment horizontal="right"/>
    </xf>
    <xf numFmtId="3" fontId="4" fillId="0" borderId="1" xfId="0" applyNumberFormat="1" applyFont="1" applyBorder="1" applyAlignment="1">
      <alignment horizontal="right"/>
    </xf>
    <xf numFmtId="3" fontId="4" fillId="0" borderId="1" xfId="0" applyNumberFormat="1" applyFont="1" applyBorder="1" applyAlignment="1" quotePrefix="1">
      <alignment horizontal="right"/>
    </xf>
    <xf numFmtId="3" fontId="0" fillId="0" borderId="2" xfId="0" applyNumberFormat="1" applyBorder="1" applyAlignment="1">
      <alignment horizontal="right"/>
    </xf>
    <xf numFmtId="3" fontId="4" fillId="0" borderId="0" xfId="0" applyNumberFormat="1" applyFont="1" applyBorder="1" applyAlignment="1" quotePrefix="1">
      <alignment horizontal="center"/>
    </xf>
    <xf numFmtId="3" fontId="4" fillId="0" borderId="1" xfId="0" applyNumberFormat="1" applyFont="1" applyBorder="1" applyAlignment="1">
      <alignment horizontal="left"/>
    </xf>
    <xf numFmtId="3" fontId="0" fillId="0" borderId="0" xfId="0" applyNumberFormat="1" applyFont="1" applyAlignment="1" quotePrefix="1">
      <alignment horizontal="left"/>
    </xf>
    <xf numFmtId="3" fontId="4"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Fill="1" applyAlignment="1">
      <alignment horizontal="right"/>
    </xf>
    <xf numFmtId="3" fontId="0" fillId="0" borderId="0" xfId="0" applyNumberFormat="1" applyFill="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0" fillId="0" borderId="0" xfId="0" applyNumberFormat="1" applyFont="1" applyFill="1" applyAlignment="1" quotePrefix="1">
      <alignment horizontal="left"/>
    </xf>
    <xf numFmtId="3" fontId="4" fillId="0" borderId="2" xfId="0" applyNumberFormat="1" applyFont="1" applyBorder="1" applyAlignment="1" quotePrefix="1">
      <alignment horizontal="right"/>
    </xf>
    <xf numFmtId="3" fontId="4" fillId="0" borderId="2" xfId="0" applyNumberFormat="1" applyFont="1" applyBorder="1" applyAlignment="1">
      <alignment horizontal="right"/>
    </xf>
    <xf numFmtId="3" fontId="0" fillId="0" borderId="0" xfId="0" applyNumberFormat="1" applyFill="1" applyAlignment="1">
      <alignment horizontal="left"/>
    </xf>
    <xf numFmtId="4" fontId="0" fillId="0" borderId="0" xfId="0" applyNumberFormat="1" applyFont="1" applyFill="1" applyAlignment="1">
      <alignment horizontal="right"/>
    </xf>
    <xf numFmtId="3" fontId="6" fillId="0" borderId="0" xfId="0" applyNumberFormat="1" applyFont="1" applyFill="1" applyAlignment="1">
      <alignment horizontal="right"/>
    </xf>
    <xf numFmtId="3" fontId="1" fillId="0" borderId="0" xfId="0" applyNumberFormat="1" applyFont="1" applyFill="1" applyAlignment="1">
      <alignment horizontal="right"/>
    </xf>
    <xf numFmtId="3" fontId="4" fillId="0" borderId="3" xfId="0" applyNumberFormat="1" applyFont="1" applyFill="1" applyBorder="1" applyAlignment="1" quotePrefix="1">
      <alignment horizontal="left"/>
    </xf>
    <xf numFmtId="3" fontId="0" fillId="0" borderId="3" xfId="0" applyNumberFormat="1" applyFill="1" applyBorder="1" applyAlignment="1">
      <alignment horizontal="right"/>
    </xf>
    <xf numFmtId="4" fontId="0" fillId="0" borderId="3" xfId="0" applyNumberFormat="1" applyFill="1" applyBorder="1" applyAlignment="1">
      <alignment horizontal="right"/>
    </xf>
    <xf numFmtId="3" fontId="4" fillId="0" borderId="0" xfId="0" applyNumberFormat="1" applyFont="1" applyFill="1" applyAlignment="1">
      <alignment horizontal="left"/>
    </xf>
    <xf numFmtId="3" fontId="4" fillId="0" borderId="3" xfId="0" applyNumberFormat="1" applyFont="1" applyFill="1" applyBorder="1" applyAlignment="1">
      <alignment horizontal="left"/>
    </xf>
    <xf numFmtId="3" fontId="0" fillId="0" borderId="0" xfId="0" applyNumberFormat="1" applyFill="1" applyBorder="1" applyAlignment="1">
      <alignment horizontal="right"/>
    </xf>
    <xf numFmtId="3" fontId="0" fillId="0" borderId="2" xfId="0" applyNumberFormat="1" applyFont="1" applyFill="1" applyBorder="1" applyAlignment="1">
      <alignment horizontal="left"/>
    </xf>
    <xf numFmtId="3" fontId="0" fillId="0" borderId="2" xfId="0" applyNumberFormat="1" applyFill="1" applyBorder="1" applyAlignment="1">
      <alignment horizontal="right"/>
    </xf>
    <xf numFmtId="4" fontId="0" fillId="0" borderId="2" xfId="0" applyNumberFormat="1" applyFill="1" applyBorder="1" applyAlignment="1">
      <alignment horizontal="right"/>
    </xf>
    <xf numFmtId="3" fontId="0" fillId="0" borderId="2" xfId="0" applyNumberFormat="1" applyFont="1" applyFill="1" applyBorder="1" applyAlignment="1">
      <alignment horizontal="right"/>
    </xf>
    <xf numFmtId="3" fontId="5" fillId="0" borderId="0" xfId="0" applyNumberFormat="1" applyFont="1" applyFill="1" applyAlignment="1">
      <alignment horizontal="left" vertical="top"/>
    </xf>
    <xf numFmtId="3" fontId="0" fillId="0" borderId="0" xfId="0" applyNumberFormat="1" applyFill="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1" fillId="0" borderId="0" xfId="0" applyNumberFormat="1" applyFont="1" applyAlignment="1" quotePrefix="1">
      <alignment horizontal="left"/>
    </xf>
    <xf numFmtId="3" fontId="5" fillId="0" borderId="0" xfId="0" applyNumberFormat="1" applyFont="1" applyAlignment="1">
      <alignment horizontal="left" vertical="top"/>
    </xf>
    <xf numFmtId="3" fontId="5" fillId="0" borderId="0" xfId="0" applyNumberFormat="1" applyFont="1" applyFill="1" applyAlignment="1" quotePrefix="1">
      <alignment horizontal="left" vertical="top"/>
    </xf>
    <xf numFmtId="3" fontId="4" fillId="0" borderId="0" xfId="0" applyNumberFormat="1" applyFont="1" applyAlignment="1">
      <alignment horizontal="right" vertical="center"/>
    </xf>
    <xf numFmtId="0" fontId="0" fillId="0" borderId="0" xfId="0" applyAlignment="1" quotePrefix="1">
      <alignment horizontal="left"/>
    </xf>
    <xf numFmtId="0" fontId="1" fillId="0" borderId="0" xfId="0" applyFont="1" applyAlignment="1" quotePrefix="1">
      <alignment horizontal="left"/>
    </xf>
    <xf numFmtId="0" fontId="0" fillId="0" borderId="0" xfId="0" applyFont="1" applyAlignment="1">
      <alignment/>
    </xf>
    <xf numFmtId="17" fontId="0" fillId="0" borderId="0" xfId="0" applyNumberFormat="1" applyFont="1" applyAlignment="1" quotePrefix="1">
      <alignment horizontal="left"/>
    </xf>
    <xf numFmtId="0" fontId="5" fillId="0" borderId="0" xfId="0" applyFont="1" applyAlignment="1">
      <alignment/>
    </xf>
    <xf numFmtId="0" fontId="4" fillId="0" borderId="1" xfId="0" applyFont="1" applyBorder="1" applyAlignment="1">
      <alignment/>
    </xf>
    <xf numFmtId="3" fontId="4" fillId="0" borderId="3" xfId="0" applyNumberFormat="1" applyFont="1" applyBorder="1" applyAlignment="1" quotePrefix="1">
      <alignment horizontal="left"/>
    </xf>
    <xf numFmtId="0" fontId="4" fillId="0" borderId="3" xfId="0" applyFont="1" applyBorder="1" applyAlignment="1">
      <alignment horizontal="center"/>
    </xf>
    <xf numFmtId="0" fontId="4" fillId="0" borderId="1" xfId="0" applyFont="1" applyBorder="1" applyAlignment="1">
      <alignment horizontal="right"/>
    </xf>
    <xf numFmtId="0" fontId="4" fillId="0" borderId="1" xfId="0" applyFont="1" applyBorder="1" applyAlignment="1" quotePrefix="1">
      <alignment horizontal="right"/>
    </xf>
    <xf numFmtId="0" fontId="4" fillId="0" borderId="0" xfId="0" applyFont="1" applyAlignment="1">
      <alignment/>
    </xf>
    <xf numFmtId="0" fontId="4" fillId="0" borderId="0" xfId="0" applyFont="1" applyAlignment="1">
      <alignment horizontal="right"/>
    </xf>
    <xf numFmtId="0" fontId="4" fillId="0" borderId="2" xfId="0" applyFont="1" applyBorder="1" applyAlignment="1">
      <alignment/>
    </xf>
    <xf numFmtId="0" fontId="4" fillId="0" borderId="2" xfId="0" applyFont="1" applyBorder="1" applyAlignment="1">
      <alignment horizontal="right"/>
    </xf>
    <xf numFmtId="0" fontId="4" fillId="0" borderId="2" xfId="0" applyFont="1" applyBorder="1" applyAlignment="1" quotePrefix="1">
      <alignment horizontal="right"/>
    </xf>
    <xf numFmtId="2" fontId="4" fillId="0" borderId="0" xfId="0" applyNumberFormat="1" applyFont="1" applyAlignment="1">
      <alignment/>
    </xf>
    <xf numFmtId="3" fontId="4" fillId="0" borderId="0" xfId="0" applyNumberFormat="1" applyFont="1" applyAlignment="1">
      <alignment horizontal="center"/>
    </xf>
    <xf numFmtId="3" fontId="4" fillId="0" borderId="0" xfId="0" applyNumberFormat="1" applyFont="1" applyAlignment="1" quotePrefix="1">
      <alignment horizontal="center"/>
    </xf>
    <xf numFmtId="0" fontId="0" fillId="0" borderId="0" xfId="0" applyFont="1" applyAlignment="1">
      <alignment horizontal="left"/>
    </xf>
    <xf numFmtId="0" fontId="0" fillId="0" borderId="0" xfId="0" applyFont="1" applyAlignment="1">
      <alignment/>
    </xf>
    <xf numFmtId="2" fontId="4" fillId="0" borderId="0" xfId="0" applyNumberFormat="1" applyFont="1" applyAlignment="1">
      <alignment horizontal="right"/>
    </xf>
    <xf numFmtId="219" fontId="4" fillId="0" borderId="0" xfId="0" applyNumberFormat="1" applyFont="1" applyAlignment="1">
      <alignment horizontal="right"/>
    </xf>
    <xf numFmtId="3" fontId="4" fillId="0" borderId="0" xfId="0" applyNumberFormat="1" applyFont="1" applyAlignment="1">
      <alignment/>
    </xf>
    <xf numFmtId="0" fontId="0" fillId="0" borderId="0" xfId="0" applyFont="1" applyAlignment="1" quotePrefix="1">
      <alignment horizontal="left"/>
    </xf>
    <xf numFmtId="219" fontId="4"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xf>
    <xf numFmtId="0" fontId="0" fillId="0" borderId="0" xfId="0" applyFont="1" applyAlignment="1" quotePrefix="1">
      <alignment horizontal="left"/>
    </xf>
    <xf numFmtId="2" fontId="4" fillId="0" borderId="3" xfId="0" applyNumberFormat="1" applyFont="1" applyBorder="1" applyAlignment="1">
      <alignment horizontal="center"/>
    </xf>
    <xf numFmtId="3" fontId="4" fillId="0" borderId="0" xfId="0" applyNumberFormat="1" applyFont="1" applyAlignment="1">
      <alignment horizontal="right"/>
    </xf>
    <xf numFmtId="2" fontId="4" fillId="0" borderId="2" xfId="0" applyNumberFormat="1" applyFont="1" applyBorder="1" applyAlignment="1">
      <alignment/>
    </xf>
    <xf numFmtId="0" fontId="10" fillId="0" borderId="0" xfId="0" applyFont="1" applyAlignment="1">
      <alignment/>
    </xf>
    <xf numFmtId="3" fontId="0" fillId="0" borderId="0" xfId="0" applyNumberFormat="1" applyFill="1" applyAlignment="1">
      <alignment horizontal="left"/>
    </xf>
    <xf numFmtId="3" fontId="0" fillId="0" borderId="0" xfId="0" applyNumberFormat="1" applyFont="1" applyFill="1" applyAlignment="1" quotePrefix="1">
      <alignment horizontal="left"/>
    </xf>
    <xf numFmtId="0" fontId="0" fillId="0" borderId="0" xfId="0" applyFill="1" applyAlignment="1">
      <alignment horizontal="left"/>
    </xf>
    <xf numFmtId="3" fontId="4" fillId="0" borderId="3" xfId="0" applyNumberFormat="1" applyFont="1" applyBorder="1" applyAlignment="1" quotePrefix="1">
      <alignment horizontal="center"/>
    </xf>
    <xf numFmtId="3" fontId="5" fillId="0" borderId="0" xfId="0" applyNumberFormat="1" applyFont="1" applyFill="1" applyAlignment="1">
      <alignment horizontal="left" vertical="top" wrapText="1"/>
    </xf>
    <xf numFmtId="0" fontId="0" fillId="0" borderId="0" xfId="0" applyFill="1" applyAlignment="1">
      <alignment/>
    </xf>
    <xf numFmtId="3" fontId="5" fillId="0" borderId="0" xfId="0" applyNumberFormat="1" applyFont="1" applyFill="1" applyAlignment="1">
      <alignment horizontal="justify" vertical="top" wrapText="1"/>
    </xf>
    <xf numFmtId="3" fontId="9" fillId="0" borderId="0" xfId="0" applyNumberFormat="1" applyFont="1" applyFill="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N66"/>
  <sheetViews>
    <sheetView tabSelected="1" zoomScale="80" zoomScaleNormal="80" workbookViewId="0" topLeftCell="A1">
      <selection activeCell="A1" sqref="A1"/>
    </sheetView>
  </sheetViews>
  <sheetFormatPr defaultColWidth="11.421875" defaultRowHeight="12.75"/>
  <cols>
    <col min="1" max="1" width="2.57421875" style="1" customWidth="1"/>
    <col min="2" max="2" width="22.421875" style="1" customWidth="1"/>
    <col min="3" max="3" width="12.140625" style="1" bestFit="1" customWidth="1"/>
    <col min="4" max="4" width="8.140625" style="1" customWidth="1"/>
    <col min="5" max="5" width="8.57421875" style="1" customWidth="1"/>
    <col min="6" max="6" width="17.00390625" style="1" bestFit="1" customWidth="1"/>
    <col min="7" max="7" width="16.7109375" style="1" bestFit="1" customWidth="1"/>
    <col min="8" max="8" width="18.00390625" style="1" bestFit="1" customWidth="1"/>
    <col min="9" max="9" width="17.7109375" style="1" bestFit="1" customWidth="1"/>
    <col min="10" max="10" width="13.57421875" style="1" customWidth="1"/>
    <col min="11" max="11" width="18.57421875" style="1" bestFit="1" customWidth="1"/>
    <col min="12" max="12" width="15.57421875" style="1" customWidth="1"/>
    <col min="13" max="13" width="13.57421875" style="1" customWidth="1"/>
    <col min="14" max="16384" width="11.421875" style="1" customWidth="1"/>
  </cols>
  <sheetData>
    <row r="1" spans="1:5" ht="12.75">
      <c r="A1" s="37" t="s">
        <v>0</v>
      </c>
      <c r="B1" s="37"/>
      <c r="C1" s="38"/>
      <c r="D1" s="38"/>
      <c r="E1" s="13"/>
    </row>
    <row r="2" spans="1:4" ht="12.75">
      <c r="A2" s="11"/>
      <c r="B2" s="39"/>
      <c r="C2" s="38"/>
      <c r="D2" s="38"/>
    </row>
    <row r="3" spans="1:4" ht="12.75">
      <c r="A3" s="39" t="s">
        <v>1</v>
      </c>
      <c r="B3" s="39"/>
      <c r="C3" s="38"/>
      <c r="D3" s="38"/>
    </row>
    <row r="4" spans="1:13" ht="12.75">
      <c r="A4" s="11" t="s">
        <v>51</v>
      </c>
      <c r="B4" s="39"/>
      <c r="C4" s="38"/>
      <c r="D4" s="38"/>
      <c r="M4" s="8"/>
    </row>
    <row r="5" spans="1:13" ht="12.75">
      <c r="A5" s="10" t="s">
        <v>2</v>
      </c>
      <c r="B5" s="10"/>
      <c r="C5" s="6" t="s">
        <v>3</v>
      </c>
      <c r="D5" s="78" t="s">
        <v>17</v>
      </c>
      <c r="E5" s="78"/>
      <c r="F5" s="6" t="s">
        <v>4</v>
      </c>
      <c r="G5" s="7" t="s">
        <v>5</v>
      </c>
      <c r="H5" s="7" t="s">
        <v>6</v>
      </c>
      <c r="I5" s="6" t="s">
        <v>29</v>
      </c>
      <c r="J5" s="6" t="s">
        <v>7</v>
      </c>
      <c r="K5" s="6" t="s">
        <v>7</v>
      </c>
      <c r="L5" s="6" t="s">
        <v>7</v>
      </c>
      <c r="M5" s="6" t="s">
        <v>7</v>
      </c>
    </row>
    <row r="6" spans="1:13" ht="12.75">
      <c r="A6" s="3"/>
      <c r="B6" s="3"/>
      <c r="C6" s="4" t="s">
        <v>8</v>
      </c>
      <c r="D6" s="5" t="s">
        <v>9</v>
      </c>
      <c r="E6" s="5" t="s">
        <v>10</v>
      </c>
      <c r="F6" s="4" t="s">
        <v>11</v>
      </c>
      <c r="G6" s="2" t="s">
        <v>12</v>
      </c>
      <c r="H6" s="5" t="s">
        <v>13</v>
      </c>
      <c r="I6" s="5" t="s">
        <v>14</v>
      </c>
      <c r="J6" s="5" t="s">
        <v>26</v>
      </c>
      <c r="K6" s="5" t="s">
        <v>27</v>
      </c>
      <c r="L6" s="42" t="s">
        <v>28</v>
      </c>
      <c r="M6" s="12" t="s">
        <v>25</v>
      </c>
    </row>
    <row r="7" spans="1:13" ht="12.75">
      <c r="A7" s="8"/>
      <c r="B7" s="8"/>
      <c r="C7" s="8"/>
      <c r="D7" s="8"/>
      <c r="E7" s="8"/>
      <c r="F7" s="19" t="s">
        <v>15</v>
      </c>
      <c r="G7" s="19" t="s">
        <v>8</v>
      </c>
      <c r="H7" s="19" t="s">
        <v>15</v>
      </c>
      <c r="I7" s="20"/>
      <c r="J7" s="8"/>
      <c r="K7" s="8"/>
      <c r="L7" s="8"/>
      <c r="M7" s="8"/>
    </row>
    <row r="8" spans="1:13" ht="12.75">
      <c r="A8" s="3"/>
      <c r="B8" s="3"/>
      <c r="C8" s="3"/>
      <c r="D8" s="3"/>
      <c r="E8" s="3"/>
      <c r="F8" s="4"/>
      <c r="G8" s="9"/>
      <c r="H8" s="4"/>
      <c r="I8" s="5"/>
      <c r="J8" s="3"/>
      <c r="K8" s="3"/>
      <c r="L8" s="3"/>
      <c r="M8" s="3"/>
    </row>
    <row r="9" spans="1:13" s="15" customFormat="1" ht="12.75">
      <c r="A9" s="75" t="s">
        <v>49</v>
      </c>
      <c r="B9" s="75"/>
      <c r="C9" s="15">
        <v>1961711</v>
      </c>
      <c r="D9" s="17">
        <v>0.92</v>
      </c>
      <c r="E9" s="17">
        <v>0.54</v>
      </c>
      <c r="F9" s="15">
        <v>3696144</v>
      </c>
      <c r="G9" s="15">
        <f>+J9+K9+L9+M9</f>
        <v>4298780</v>
      </c>
      <c r="H9" s="14">
        <f aca="true" t="shared" si="0" ref="H9:H35">G9-F9</f>
        <v>602636</v>
      </c>
      <c r="I9" s="15">
        <v>246480</v>
      </c>
      <c r="J9" s="15">
        <v>0</v>
      </c>
      <c r="K9" s="15">
        <f>206657+909921+648553</f>
        <v>1765131</v>
      </c>
      <c r="L9" s="15">
        <v>0</v>
      </c>
      <c r="M9" s="15">
        <v>2533649</v>
      </c>
    </row>
    <row r="10" spans="1:13" s="15" customFormat="1" ht="12.75">
      <c r="A10" s="75" t="s">
        <v>50</v>
      </c>
      <c r="B10" s="75"/>
      <c r="C10" s="15">
        <v>1574033</v>
      </c>
      <c r="D10" s="17">
        <v>0.11</v>
      </c>
      <c r="E10" s="17">
        <v>0.11</v>
      </c>
      <c r="F10" s="15">
        <v>1574033</v>
      </c>
      <c r="G10" s="15">
        <f>+J10+K10+L10+M10</f>
        <v>1758515</v>
      </c>
      <c r="H10" s="14">
        <f>G10-F10</f>
        <v>184482</v>
      </c>
      <c r="I10" s="15">
        <v>0</v>
      </c>
      <c r="J10" s="15">
        <v>0</v>
      </c>
      <c r="K10" s="15">
        <v>0</v>
      </c>
      <c r="L10" s="15">
        <v>0</v>
      </c>
      <c r="M10" s="15">
        <v>1758515</v>
      </c>
    </row>
    <row r="11" spans="1:13" s="14" customFormat="1" ht="12.75">
      <c r="A11" s="16" t="s">
        <v>39</v>
      </c>
      <c r="B11" s="18"/>
      <c r="C11" s="15">
        <v>10980950</v>
      </c>
      <c r="D11" s="17">
        <v>0.98</v>
      </c>
      <c r="E11" s="17">
        <v>0.33</v>
      </c>
      <c r="F11" s="15">
        <v>33556210</v>
      </c>
      <c r="G11" s="14">
        <f aca="true" t="shared" si="1" ref="G11:G35">+J11+K11+L11+M11</f>
        <v>41103671</v>
      </c>
      <c r="H11" s="14">
        <f t="shared" si="0"/>
        <v>7547461</v>
      </c>
      <c r="I11" s="15">
        <v>12656444</v>
      </c>
      <c r="J11" s="15">
        <v>0</v>
      </c>
      <c r="K11" s="15">
        <f>2289454+19655884+623000</f>
        <v>22568338</v>
      </c>
      <c r="L11" s="15">
        <v>22845</v>
      </c>
      <c r="M11" s="15">
        <v>18512488</v>
      </c>
    </row>
    <row r="12" spans="1:13" s="14" customFormat="1" ht="12.75">
      <c r="A12" s="16" t="s">
        <v>35</v>
      </c>
      <c r="B12" s="16"/>
      <c r="C12" s="15">
        <v>3376644</v>
      </c>
      <c r="D12" s="17">
        <v>2.87</v>
      </c>
      <c r="E12" s="17">
        <v>0.73</v>
      </c>
      <c r="F12" s="15">
        <v>13626919</v>
      </c>
      <c r="G12" s="14">
        <f t="shared" si="1"/>
        <v>13796194</v>
      </c>
      <c r="H12" s="14">
        <f t="shared" si="0"/>
        <v>169275</v>
      </c>
      <c r="I12" s="15">
        <v>1705094</v>
      </c>
      <c r="J12" s="15">
        <v>0</v>
      </c>
      <c r="K12" s="15">
        <f>1664050+8218968+8541+381762</f>
        <v>10273321</v>
      </c>
      <c r="L12" s="15">
        <v>0</v>
      </c>
      <c r="M12" s="15">
        <v>3522873</v>
      </c>
    </row>
    <row r="13" spans="1:13" s="15" customFormat="1" ht="12.75">
      <c r="A13" s="16" t="s">
        <v>30</v>
      </c>
      <c r="B13" s="16"/>
      <c r="C13" s="15">
        <v>4922498</v>
      </c>
      <c r="D13" s="17">
        <v>5.21</v>
      </c>
      <c r="E13" s="17">
        <v>0.09</v>
      </c>
      <c r="F13" s="15">
        <v>69033104</v>
      </c>
      <c r="G13" s="15">
        <f>+J13+K13+L13+M13</f>
        <v>76528046</v>
      </c>
      <c r="H13" s="14">
        <f>G13-F13</f>
        <v>7494942</v>
      </c>
      <c r="I13" s="15">
        <v>708470</v>
      </c>
      <c r="J13" s="15">
        <v>60878208</v>
      </c>
      <c r="K13" s="15">
        <f>313417+2918981+0</f>
        <v>3232398</v>
      </c>
      <c r="L13" s="15">
        <v>0</v>
      </c>
      <c r="M13" s="15">
        <v>12417440</v>
      </c>
    </row>
    <row r="14" spans="1:13" s="15" customFormat="1" ht="12.75">
      <c r="A14" s="16" t="s">
        <v>42</v>
      </c>
      <c r="B14" s="16"/>
      <c r="C14" s="15">
        <v>5203178</v>
      </c>
      <c r="D14" s="17">
        <v>5.34</v>
      </c>
      <c r="E14" s="17">
        <v>0.8</v>
      </c>
      <c r="F14" s="15">
        <v>40986775</v>
      </c>
      <c r="G14" s="14">
        <f>+J14+K14+L14+M14</f>
        <v>44029311</v>
      </c>
      <c r="H14" s="14">
        <f>G14-F14</f>
        <v>3042536</v>
      </c>
      <c r="I14" s="15">
        <v>217302</v>
      </c>
      <c r="J14" s="15">
        <v>19450772</v>
      </c>
      <c r="K14" s="15">
        <f>2009343+6937518+415267+7289087</f>
        <v>16651215</v>
      </c>
      <c r="L14" s="15">
        <v>0</v>
      </c>
      <c r="M14" s="15">
        <v>7927324</v>
      </c>
    </row>
    <row r="15" spans="1:13" s="15" customFormat="1" ht="12.75">
      <c r="A15" s="76" t="s">
        <v>52</v>
      </c>
      <c r="B15" s="77"/>
      <c r="C15" s="15">
        <v>27812751</v>
      </c>
      <c r="D15" s="17">
        <v>3.45</v>
      </c>
      <c r="E15" s="17">
        <v>0.14</v>
      </c>
      <c r="F15" s="15">
        <v>411860018</v>
      </c>
      <c r="G15" s="15">
        <f>+J15+K15+L15+M15</f>
        <v>407664037</v>
      </c>
      <c r="H15" s="14">
        <f t="shared" si="0"/>
        <v>-4195981</v>
      </c>
      <c r="I15" s="15">
        <v>9801885</v>
      </c>
      <c r="J15" s="15">
        <v>378337594</v>
      </c>
      <c r="K15" s="15">
        <f>925244+4784429</f>
        <v>5709673</v>
      </c>
      <c r="L15" s="15">
        <v>0</v>
      </c>
      <c r="M15" s="15">
        <v>23616770</v>
      </c>
    </row>
    <row r="16" spans="1:13" s="14" customFormat="1" ht="12.75">
      <c r="A16" s="16" t="s">
        <v>46</v>
      </c>
      <c r="B16" s="18"/>
      <c r="C16" s="15">
        <v>3780198</v>
      </c>
      <c r="D16" s="17">
        <v>2.75</v>
      </c>
      <c r="E16" s="17">
        <v>0.6</v>
      </c>
      <c r="F16" s="15">
        <v>17308070</v>
      </c>
      <c r="G16" s="14">
        <f>+J16+K16+L16+M16</f>
        <v>17938715</v>
      </c>
      <c r="H16" s="14">
        <f t="shared" si="0"/>
        <v>630645</v>
      </c>
      <c r="I16" s="15">
        <v>203094</v>
      </c>
      <c r="J16" s="15">
        <v>0</v>
      </c>
      <c r="K16" s="15">
        <f>1560435+11967437</f>
        <v>13527872</v>
      </c>
      <c r="L16" s="15">
        <v>0</v>
      </c>
      <c r="M16" s="15">
        <v>4410843</v>
      </c>
    </row>
    <row r="17" spans="1:13" s="15" customFormat="1" ht="12.75">
      <c r="A17" s="16" t="s">
        <v>19</v>
      </c>
      <c r="B17" s="18"/>
      <c r="C17" s="15">
        <v>40988917</v>
      </c>
      <c r="D17" s="17">
        <v>7.82</v>
      </c>
      <c r="E17" s="17">
        <v>0.33</v>
      </c>
      <c r="F17" s="15">
        <v>609391463</v>
      </c>
      <c r="G17" s="15">
        <f t="shared" si="1"/>
        <v>635872152</v>
      </c>
      <c r="H17" s="14">
        <f t="shared" si="0"/>
        <v>26480689</v>
      </c>
      <c r="I17" s="15">
        <v>3733763</v>
      </c>
      <c r="J17" s="15">
        <v>497206687</v>
      </c>
      <c r="K17" s="15">
        <f>10852169+30894854+5320440+24170051</f>
        <v>71237514</v>
      </c>
      <c r="L17" s="15">
        <v>247945</v>
      </c>
      <c r="M17" s="15">
        <v>67180006</v>
      </c>
    </row>
    <row r="18" spans="1:13" s="23" customFormat="1" ht="12.75">
      <c r="A18" s="16" t="s">
        <v>31</v>
      </c>
      <c r="B18" s="16"/>
      <c r="C18" s="14">
        <v>7144629</v>
      </c>
      <c r="D18" s="22">
        <v>5.62</v>
      </c>
      <c r="E18" s="22">
        <v>0.12</v>
      </c>
      <c r="F18" s="14">
        <v>97413798</v>
      </c>
      <c r="G18" s="14">
        <f t="shared" si="1"/>
        <v>106773834</v>
      </c>
      <c r="H18" s="14">
        <f t="shared" si="0"/>
        <v>9360036</v>
      </c>
      <c r="I18" s="14">
        <v>158420</v>
      </c>
      <c r="J18" s="14">
        <v>95504219</v>
      </c>
      <c r="K18" s="14">
        <f>2060381+1045655+1018950</f>
        <v>4124986</v>
      </c>
      <c r="L18" s="14">
        <v>0</v>
      </c>
      <c r="M18" s="14">
        <v>7144629</v>
      </c>
    </row>
    <row r="19" spans="1:13" s="15" customFormat="1" ht="12.75">
      <c r="A19" s="16" t="s">
        <v>40</v>
      </c>
      <c r="B19" s="18"/>
      <c r="C19" s="15">
        <v>19250887</v>
      </c>
      <c r="D19" s="17">
        <v>5.5</v>
      </c>
      <c r="E19" s="17">
        <v>0.31</v>
      </c>
      <c r="F19" s="15">
        <v>292736399</v>
      </c>
      <c r="G19" s="15">
        <f>+J19+K19+L19+M19</f>
        <v>323209774</v>
      </c>
      <c r="H19" s="14">
        <f t="shared" si="0"/>
        <v>30473375</v>
      </c>
      <c r="I19" s="15">
        <v>76895</v>
      </c>
      <c r="J19" s="15">
        <v>271812441</v>
      </c>
      <c r="K19" s="15">
        <f>27121+1645950</f>
        <v>1673071</v>
      </c>
      <c r="L19" s="15">
        <v>0</v>
      </c>
      <c r="M19" s="15">
        <v>49724262</v>
      </c>
    </row>
    <row r="20" spans="1:13" s="15" customFormat="1" ht="12.75">
      <c r="A20" s="16" t="s">
        <v>20</v>
      </c>
      <c r="B20" s="16"/>
      <c r="C20" s="15">
        <v>110217522</v>
      </c>
      <c r="D20" s="17">
        <v>7.05</v>
      </c>
      <c r="E20" s="17">
        <v>0.45</v>
      </c>
      <c r="F20" s="15">
        <v>1624300176</v>
      </c>
      <c r="G20" s="15">
        <f t="shared" si="1"/>
        <v>1743161072</v>
      </c>
      <c r="H20" s="14">
        <f t="shared" si="0"/>
        <v>118860896</v>
      </c>
      <c r="I20" s="15">
        <v>20129505</v>
      </c>
      <c r="J20" s="15">
        <v>1401044732</v>
      </c>
      <c r="K20" s="15">
        <f>1885803+42742497+16477902+44815771+0</f>
        <v>105921973</v>
      </c>
      <c r="L20" s="15">
        <v>257459</v>
      </c>
      <c r="M20" s="15">
        <v>235936908</v>
      </c>
    </row>
    <row r="21" spans="1:13" s="15" customFormat="1" ht="12.75">
      <c r="A21" s="16" t="s">
        <v>34</v>
      </c>
      <c r="B21" s="16"/>
      <c r="C21" s="15">
        <v>55384186</v>
      </c>
      <c r="D21" s="17">
        <v>9.3</v>
      </c>
      <c r="E21" s="17">
        <v>0.32</v>
      </c>
      <c r="F21" s="15">
        <v>839103163</v>
      </c>
      <c r="G21" s="15">
        <f t="shared" si="1"/>
        <v>865404898</v>
      </c>
      <c r="H21" s="14">
        <f t="shared" si="0"/>
        <v>26301735</v>
      </c>
      <c r="I21" s="15">
        <v>15592800</v>
      </c>
      <c r="J21" s="15">
        <v>777374347</v>
      </c>
      <c r="K21" s="15">
        <f>2072303+24905077+3320+5662093</f>
        <v>32642793</v>
      </c>
      <c r="L21" s="15">
        <v>3572</v>
      </c>
      <c r="M21" s="15">
        <v>55384186</v>
      </c>
    </row>
    <row r="22" spans="1:13" s="15" customFormat="1" ht="12.75">
      <c r="A22" s="16" t="s">
        <v>21</v>
      </c>
      <c r="B22" s="16"/>
      <c r="C22" s="15">
        <v>20603828</v>
      </c>
      <c r="D22" s="17">
        <v>6.42</v>
      </c>
      <c r="E22" s="17">
        <v>0.2</v>
      </c>
      <c r="F22" s="15">
        <v>275781481</v>
      </c>
      <c r="G22" s="15">
        <f t="shared" si="1"/>
        <v>291642475</v>
      </c>
      <c r="H22" s="14">
        <f t="shared" si="0"/>
        <v>15860994</v>
      </c>
      <c r="I22" s="15">
        <v>8094453</v>
      </c>
      <c r="J22" s="15">
        <v>229642780</v>
      </c>
      <c r="K22" s="15">
        <f>2115936+8783937+12343182+3628854</f>
        <v>26871909</v>
      </c>
      <c r="L22" s="15">
        <v>100059</v>
      </c>
      <c r="M22" s="15">
        <v>35027727</v>
      </c>
    </row>
    <row r="23" spans="1:13" s="15" customFormat="1" ht="12.75">
      <c r="A23" s="16" t="s">
        <v>41</v>
      </c>
      <c r="B23" s="16"/>
      <c r="C23" s="15">
        <v>23514130</v>
      </c>
      <c r="D23" s="17">
        <v>10.76</v>
      </c>
      <c r="E23" s="17">
        <v>0.8</v>
      </c>
      <c r="F23" s="15">
        <v>353531895</v>
      </c>
      <c r="G23" s="15">
        <f t="shared" si="1"/>
        <v>357446156</v>
      </c>
      <c r="H23" s="14">
        <f t="shared" si="0"/>
        <v>3914261</v>
      </c>
      <c r="I23" s="15">
        <v>1902261</v>
      </c>
      <c r="J23" s="15">
        <v>273567709</v>
      </c>
      <c r="K23" s="15">
        <f>2102919+13010645+19639973+23422726</f>
        <v>58176263</v>
      </c>
      <c r="L23" s="15">
        <v>412547</v>
      </c>
      <c r="M23" s="15">
        <v>25289637</v>
      </c>
    </row>
    <row r="24" spans="1:13" s="15" customFormat="1" ht="12.75">
      <c r="A24" s="16" t="s">
        <v>33</v>
      </c>
      <c r="B24" s="16"/>
      <c r="C24" s="15">
        <v>1574033</v>
      </c>
      <c r="D24" s="17">
        <v>1.22</v>
      </c>
      <c r="E24" s="17">
        <v>0.06</v>
      </c>
      <c r="F24" s="15">
        <v>4707885</v>
      </c>
      <c r="G24" s="15">
        <f t="shared" si="1"/>
        <v>5233678</v>
      </c>
      <c r="H24" s="14">
        <f t="shared" si="0"/>
        <v>525793</v>
      </c>
      <c r="I24" s="15">
        <v>655742</v>
      </c>
      <c r="J24" s="15">
        <v>0</v>
      </c>
      <c r="K24" s="15">
        <f>223772+2910080</f>
        <v>3133852</v>
      </c>
      <c r="L24" s="15">
        <v>0</v>
      </c>
      <c r="M24" s="15">
        <v>2099826</v>
      </c>
    </row>
    <row r="25" spans="1:13" s="24" customFormat="1" ht="12.75">
      <c r="A25" s="16" t="s">
        <v>43</v>
      </c>
      <c r="B25" s="16"/>
      <c r="C25" s="15">
        <v>92106209</v>
      </c>
      <c r="D25" s="17">
        <v>9.68</v>
      </c>
      <c r="E25" s="17">
        <v>0.16</v>
      </c>
      <c r="F25" s="15">
        <v>1383986553</v>
      </c>
      <c r="G25" s="14">
        <f t="shared" si="1"/>
        <v>1398518012</v>
      </c>
      <c r="H25" s="14">
        <f t="shared" si="0"/>
        <v>14531459</v>
      </c>
      <c r="I25" s="15">
        <v>19474109</v>
      </c>
      <c r="J25" s="15">
        <v>1184142609</v>
      </c>
      <c r="K25" s="15">
        <f>4291284+51442771+10778645+32821128</f>
        <v>99333828</v>
      </c>
      <c r="L25" s="15">
        <v>227847</v>
      </c>
      <c r="M25" s="15">
        <v>114813728</v>
      </c>
    </row>
    <row r="26" spans="1:13" s="24" customFormat="1" ht="12.75">
      <c r="A26" s="16" t="s">
        <v>22</v>
      </c>
      <c r="B26" s="16"/>
      <c r="C26" s="15">
        <v>16987541</v>
      </c>
      <c r="D26" s="17">
        <v>3.94</v>
      </c>
      <c r="E26" s="17">
        <v>0.51</v>
      </c>
      <c r="F26" s="15">
        <v>131967568</v>
      </c>
      <c r="G26" s="14">
        <f t="shared" si="1"/>
        <v>143422282</v>
      </c>
      <c r="H26" s="14">
        <f>G26-F26</f>
        <v>11454714</v>
      </c>
      <c r="I26" s="15">
        <v>9494236</v>
      </c>
      <c r="J26" s="15">
        <v>44647863</v>
      </c>
      <c r="K26" s="15">
        <f>4047745+44681183+480263+32577687+0</f>
        <v>81786878</v>
      </c>
      <c r="L26" s="15">
        <v>0</v>
      </c>
      <c r="M26" s="15">
        <v>16987541</v>
      </c>
    </row>
    <row r="27" spans="1:13" s="15" customFormat="1" ht="12.75">
      <c r="A27" s="16" t="s">
        <v>44</v>
      </c>
      <c r="B27" s="18"/>
      <c r="C27" s="15">
        <v>31202775</v>
      </c>
      <c r="D27" s="17">
        <v>11.04</v>
      </c>
      <c r="E27" s="17">
        <v>0.03</v>
      </c>
      <c r="F27" s="15">
        <v>497848502</v>
      </c>
      <c r="G27" s="15">
        <f t="shared" si="1"/>
        <v>507259055</v>
      </c>
      <c r="H27" s="14">
        <f>G27-F27</f>
        <v>9410553</v>
      </c>
      <c r="I27" s="15">
        <v>223555</v>
      </c>
      <c r="J27" s="15">
        <v>425082824</v>
      </c>
      <c r="K27" s="15">
        <v>41562903</v>
      </c>
      <c r="L27" s="15">
        <v>0</v>
      </c>
      <c r="M27" s="15">
        <v>40613328</v>
      </c>
    </row>
    <row r="28" spans="1:13" s="14" customFormat="1" ht="12.75">
      <c r="A28" s="16" t="s">
        <v>32</v>
      </c>
      <c r="B28" s="16"/>
      <c r="C28" s="15">
        <v>1574033</v>
      </c>
      <c r="D28" s="17">
        <v>3.96</v>
      </c>
      <c r="E28" s="17">
        <v>0.15</v>
      </c>
      <c r="F28" s="15">
        <v>16907070</v>
      </c>
      <c r="G28" s="14">
        <f aca="true" t="shared" si="2" ref="G28:G34">+J28+K28+L28+M28</f>
        <v>18663562</v>
      </c>
      <c r="H28" s="14">
        <f aca="true" t="shared" si="3" ref="H28:H34">G28-F28</f>
        <v>1756492</v>
      </c>
      <c r="I28" s="15">
        <v>46735</v>
      </c>
      <c r="J28" s="15">
        <v>14223459</v>
      </c>
      <c r="K28" s="15">
        <f>126584+657797+236993</f>
        <v>1021374</v>
      </c>
      <c r="L28" s="15">
        <v>95925</v>
      </c>
      <c r="M28" s="15">
        <v>3322804</v>
      </c>
    </row>
    <row r="29" spans="1:13" s="14" customFormat="1" ht="12.75">
      <c r="A29" s="16" t="s">
        <v>54</v>
      </c>
      <c r="B29" s="16"/>
      <c r="C29" s="15">
        <v>73351193</v>
      </c>
      <c r="D29" s="17">
        <v>8.78</v>
      </c>
      <c r="E29" s="17">
        <v>0.23</v>
      </c>
      <c r="F29" s="15">
        <v>1048989088</v>
      </c>
      <c r="G29" s="14">
        <f t="shared" si="2"/>
        <v>1057488244</v>
      </c>
      <c r="H29" s="14">
        <f t="shared" si="3"/>
        <v>8499156</v>
      </c>
      <c r="I29" s="15">
        <v>10241932</v>
      </c>
      <c r="J29" s="15">
        <v>935922237</v>
      </c>
      <c r="K29" s="15">
        <f>6258419+10550730+941206+21762832</f>
        <v>39513187</v>
      </c>
      <c r="L29" s="15">
        <v>359311</v>
      </c>
      <c r="M29" s="15">
        <v>81693509</v>
      </c>
    </row>
    <row r="30" spans="1:13" s="15" customFormat="1" ht="12.75">
      <c r="A30" s="16" t="s">
        <v>53</v>
      </c>
      <c r="B30" s="16"/>
      <c r="C30" s="15">
        <v>18823391</v>
      </c>
      <c r="D30" s="17">
        <v>11.12</v>
      </c>
      <c r="E30" s="17">
        <v>0.09</v>
      </c>
      <c r="F30" s="15">
        <v>294496248</v>
      </c>
      <c r="G30" s="15">
        <f t="shared" si="2"/>
        <v>298736413</v>
      </c>
      <c r="H30" s="14">
        <f t="shared" si="3"/>
        <v>4240165</v>
      </c>
      <c r="I30" s="15">
        <v>119560</v>
      </c>
      <c r="J30" s="15">
        <v>272252002</v>
      </c>
      <c r="K30" s="15">
        <f>249804+3169775+1276</f>
        <v>3420855</v>
      </c>
      <c r="L30" s="15">
        <v>0</v>
      </c>
      <c r="M30" s="15">
        <v>23063556</v>
      </c>
    </row>
    <row r="31" spans="1:13" s="14" customFormat="1" ht="12.75">
      <c r="A31" s="16" t="s">
        <v>48</v>
      </c>
      <c r="B31" s="18"/>
      <c r="C31" s="15">
        <v>35049138</v>
      </c>
      <c r="D31" s="17">
        <v>8.83</v>
      </c>
      <c r="E31" s="17">
        <v>0.18</v>
      </c>
      <c r="F31" s="15">
        <v>544574462</v>
      </c>
      <c r="G31" s="14">
        <f>+J31+K31+L31+M31</f>
        <v>553746398</v>
      </c>
      <c r="H31" s="14">
        <f>G31-F31</f>
        <v>9171936</v>
      </c>
      <c r="I31" s="15">
        <v>4776517</v>
      </c>
      <c r="J31" s="15">
        <v>497443232</v>
      </c>
      <c r="K31" s="15">
        <f>283119+1865596+11115067</f>
        <v>13263782</v>
      </c>
      <c r="L31" s="15">
        <v>141281</v>
      </c>
      <c r="M31" s="15">
        <v>42898103</v>
      </c>
    </row>
    <row r="32" spans="1:13" s="14" customFormat="1" ht="12.75">
      <c r="A32" s="16" t="s">
        <v>45</v>
      </c>
      <c r="B32" s="18"/>
      <c r="C32" s="15">
        <v>64801456</v>
      </c>
      <c r="D32" s="17">
        <v>12.82</v>
      </c>
      <c r="E32" s="17">
        <v>0.29</v>
      </c>
      <c r="F32" s="15">
        <v>1010045182</v>
      </c>
      <c r="G32" s="14">
        <f t="shared" si="2"/>
        <v>1012834655</v>
      </c>
      <c r="H32" s="14">
        <f t="shared" si="3"/>
        <v>2789473</v>
      </c>
      <c r="I32" s="15">
        <v>9423688</v>
      </c>
      <c r="J32" s="15">
        <v>936747021</v>
      </c>
      <c r="K32" s="15">
        <f>1149104+4646045+1151189+1704183</f>
        <v>8650521</v>
      </c>
      <c r="L32" s="15">
        <v>0</v>
      </c>
      <c r="M32" s="15">
        <v>67437113</v>
      </c>
    </row>
    <row r="33" spans="1:13" s="15" customFormat="1" ht="12.75">
      <c r="A33" s="16" t="s">
        <v>23</v>
      </c>
      <c r="B33" s="16"/>
      <c r="C33" s="15">
        <v>17307287</v>
      </c>
      <c r="D33" s="17">
        <v>8.55</v>
      </c>
      <c r="E33" s="17">
        <v>0.19</v>
      </c>
      <c r="F33" s="15">
        <v>271376467</v>
      </c>
      <c r="G33" s="15">
        <f t="shared" si="2"/>
        <v>273599898</v>
      </c>
      <c r="H33" s="14">
        <f t="shared" si="3"/>
        <v>2223431</v>
      </c>
      <c r="I33" s="15">
        <v>11752190</v>
      </c>
      <c r="J33" s="15">
        <v>253040839</v>
      </c>
      <c r="K33" s="15">
        <f>624335+173602+238172</f>
        <v>1036109</v>
      </c>
      <c r="L33" s="15">
        <v>1487</v>
      </c>
      <c r="M33" s="15">
        <v>19521463</v>
      </c>
    </row>
    <row r="34" spans="1:13" s="14" customFormat="1" ht="12.75">
      <c r="A34" s="16" t="s">
        <v>36</v>
      </c>
      <c r="B34" s="16"/>
      <c r="C34" s="15">
        <v>6260889</v>
      </c>
      <c r="D34" s="17">
        <v>6.73</v>
      </c>
      <c r="E34" s="17">
        <v>0.48</v>
      </c>
      <c r="F34" s="15">
        <v>59536497</v>
      </c>
      <c r="G34" s="15">
        <f t="shared" si="2"/>
        <v>59705203</v>
      </c>
      <c r="H34" s="14">
        <f t="shared" si="3"/>
        <v>168706</v>
      </c>
      <c r="I34" s="15">
        <v>515133</v>
      </c>
      <c r="J34" s="15">
        <v>37457120</v>
      </c>
      <c r="K34" s="15">
        <f>1547605+3622390+7176622+3544730</f>
        <v>15891347</v>
      </c>
      <c r="L34" s="15">
        <v>557658</v>
      </c>
      <c r="M34" s="15">
        <v>5799078</v>
      </c>
    </row>
    <row r="35" spans="1:13" s="15" customFormat="1" ht="12.75">
      <c r="A35" s="16" t="s">
        <v>24</v>
      </c>
      <c r="B35" s="16"/>
      <c r="C35" s="15">
        <v>52119778</v>
      </c>
      <c r="D35" s="17">
        <v>8.9</v>
      </c>
      <c r="E35" s="17">
        <v>0.07</v>
      </c>
      <c r="F35" s="15">
        <v>820236408</v>
      </c>
      <c r="G35" s="14">
        <f t="shared" si="1"/>
        <v>841117160</v>
      </c>
      <c r="H35" s="14">
        <f t="shared" si="0"/>
        <v>20880752</v>
      </c>
      <c r="I35" s="15">
        <v>7428375</v>
      </c>
      <c r="J35" s="15">
        <v>749766979</v>
      </c>
      <c r="K35" s="15">
        <f>773798+7283346+4318407+6608237</f>
        <v>18983788</v>
      </c>
      <c r="L35" s="15">
        <v>0</v>
      </c>
      <c r="M35" s="15">
        <v>72366393</v>
      </c>
    </row>
    <row r="36" spans="1:13" s="15" customFormat="1" ht="12.75">
      <c r="A36" s="25" t="s">
        <v>16</v>
      </c>
      <c r="B36" s="25"/>
      <c r="C36" s="26">
        <f>SUM(C9:C35)</f>
        <v>747873785</v>
      </c>
      <c r="D36" s="27"/>
      <c r="E36" s="27"/>
      <c r="F36" s="26">
        <f aca="true" t="shared" si="4" ref="F36:M36">SUM(F9:F35)</f>
        <v>10768571578</v>
      </c>
      <c r="G36" s="26">
        <f t="shared" si="4"/>
        <v>11100952190</v>
      </c>
      <c r="H36" s="26">
        <f t="shared" si="4"/>
        <v>332380612</v>
      </c>
      <c r="I36" s="26">
        <f t="shared" si="4"/>
        <v>149378638</v>
      </c>
      <c r="J36" s="26">
        <f t="shared" si="4"/>
        <v>9355545674</v>
      </c>
      <c r="K36" s="26">
        <f t="shared" si="4"/>
        <v>701974881</v>
      </c>
      <c r="L36" s="26">
        <f t="shared" si="4"/>
        <v>2427936</v>
      </c>
      <c r="M36" s="26">
        <f t="shared" si="4"/>
        <v>1041003699</v>
      </c>
    </row>
    <row r="37" spans="1:13" s="15" customFormat="1" ht="12.75">
      <c r="A37" s="28"/>
      <c r="B37" s="28"/>
      <c r="D37" s="17"/>
      <c r="E37" s="17"/>
      <c r="M37" s="21"/>
    </row>
    <row r="38" spans="1:13" s="14" customFormat="1" ht="12.75">
      <c r="A38" s="16" t="s">
        <v>18</v>
      </c>
      <c r="B38" s="18"/>
      <c r="C38" s="15">
        <v>2725088</v>
      </c>
      <c r="D38" s="17">
        <v>2.25</v>
      </c>
      <c r="E38" s="17">
        <v>0.09</v>
      </c>
      <c r="F38" s="15">
        <v>41891525</v>
      </c>
      <c r="G38" s="15">
        <f>+J38+K38+L38+M38</f>
        <v>47442560</v>
      </c>
      <c r="H38" s="14">
        <f>G38-F38</f>
        <v>5551035</v>
      </c>
      <c r="I38" s="15">
        <v>9554365</v>
      </c>
      <c r="J38" s="15">
        <v>39063585</v>
      </c>
      <c r="K38" s="15">
        <f>85207+17645</f>
        <v>102852</v>
      </c>
      <c r="L38" s="15">
        <v>0</v>
      </c>
      <c r="M38" s="15">
        <v>8276123</v>
      </c>
    </row>
    <row r="39" spans="1:14" s="15" customFormat="1" ht="12.75">
      <c r="A39" s="29" t="s">
        <v>37</v>
      </c>
      <c r="B39" s="29"/>
      <c r="C39" s="26">
        <f aca="true" t="shared" si="5" ref="C39:H39">SUM(C38:C38)</f>
        <v>2725088</v>
      </c>
      <c r="D39" s="27"/>
      <c r="E39" s="27"/>
      <c r="F39" s="26">
        <f t="shared" si="5"/>
        <v>41891525</v>
      </c>
      <c r="G39" s="26">
        <f t="shared" si="5"/>
        <v>47442560</v>
      </c>
      <c r="H39" s="26">
        <f t="shared" si="5"/>
        <v>5551035</v>
      </c>
      <c r="I39" s="26">
        <f>SUM(I38:I38)</f>
        <v>9554365</v>
      </c>
      <c r="J39" s="26">
        <f>SUM(J38:J38)</f>
        <v>39063585</v>
      </c>
      <c r="K39" s="26">
        <f>SUM(K38:K38)</f>
        <v>102852</v>
      </c>
      <c r="L39" s="26">
        <f>SUM(L38:L38)</f>
        <v>0</v>
      </c>
      <c r="M39" s="26">
        <f>SUM(M38:M38)</f>
        <v>8276123</v>
      </c>
      <c r="N39" s="30"/>
    </row>
    <row r="40" spans="4:13" s="15" customFormat="1" ht="12.75">
      <c r="D40" s="17"/>
      <c r="E40" s="17"/>
      <c r="I40" s="14"/>
      <c r="J40" s="14"/>
      <c r="K40" s="14"/>
      <c r="M40" s="21"/>
    </row>
    <row r="41" spans="1:13" s="15" customFormat="1" ht="12.75">
      <c r="A41" s="31" t="s">
        <v>9</v>
      </c>
      <c r="B41" s="31"/>
      <c r="C41" s="32">
        <f>C36+C39</f>
        <v>750598873</v>
      </c>
      <c r="D41" s="33"/>
      <c r="E41" s="33"/>
      <c r="F41" s="32">
        <f aca="true" t="shared" si="6" ref="F41:M41">F36+F39</f>
        <v>10810463103</v>
      </c>
      <c r="G41" s="32">
        <f t="shared" si="6"/>
        <v>11148394750</v>
      </c>
      <c r="H41" s="32">
        <f t="shared" si="6"/>
        <v>337931647</v>
      </c>
      <c r="I41" s="32">
        <f t="shared" si="6"/>
        <v>158933003</v>
      </c>
      <c r="J41" s="34">
        <f t="shared" si="6"/>
        <v>9394609259</v>
      </c>
      <c r="K41" s="34">
        <f t="shared" si="6"/>
        <v>702077733</v>
      </c>
      <c r="L41" s="32">
        <f t="shared" si="6"/>
        <v>2427936</v>
      </c>
      <c r="M41" s="32">
        <f t="shared" si="6"/>
        <v>1049279822</v>
      </c>
    </row>
    <row r="42" spans="1:13" s="15" customFormat="1" ht="9.75" customHeight="1">
      <c r="A42" s="35"/>
      <c r="B42" s="40"/>
      <c r="C42" s="81"/>
      <c r="D42" s="82"/>
      <c r="E42" s="82"/>
      <c r="F42" s="82"/>
      <c r="G42" s="82"/>
      <c r="H42" s="82"/>
      <c r="I42" s="82"/>
      <c r="J42" s="82"/>
      <c r="K42" s="82"/>
      <c r="L42" s="82"/>
      <c r="M42" s="82"/>
    </row>
    <row r="43" spans="1:13" s="15" customFormat="1" ht="26.25" customHeight="1">
      <c r="A43" s="41" t="s">
        <v>55</v>
      </c>
      <c r="B43" s="79" t="s">
        <v>56</v>
      </c>
      <c r="C43" s="79"/>
      <c r="D43" s="79"/>
      <c r="E43" s="79"/>
      <c r="F43" s="79"/>
      <c r="G43" s="79"/>
      <c r="H43" s="79"/>
      <c r="I43" s="79"/>
      <c r="J43" s="79"/>
      <c r="K43" s="79"/>
      <c r="L43" s="79"/>
      <c r="M43" s="77"/>
    </row>
    <row r="44" spans="1:13" s="15" customFormat="1" ht="12.75" customHeight="1">
      <c r="A44" s="36"/>
      <c r="B44" s="79" t="s">
        <v>47</v>
      </c>
      <c r="C44" s="79"/>
      <c r="D44" s="79"/>
      <c r="E44" s="79"/>
      <c r="F44" s="79"/>
      <c r="G44" s="79"/>
      <c r="H44" s="79"/>
      <c r="I44" s="79"/>
      <c r="J44" s="79"/>
      <c r="K44" s="79"/>
      <c r="L44" s="79"/>
      <c r="M44" s="80"/>
    </row>
    <row r="45" spans="1:13" s="15" customFormat="1" ht="12.75" customHeight="1">
      <c r="A45" s="36"/>
      <c r="B45" s="79"/>
      <c r="C45" s="79"/>
      <c r="D45" s="79"/>
      <c r="E45" s="79"/>
      <c r="F45" s="79"/>
      <c r="G45" s="79"/>
      <c r="H45" s="79"/>
      <c r="I45" s="79"/>
      <c r="J45" s="79"/>
      <c r="K45" s="79"/>
      <c r="L45" s="79"/>
      <c r="M45" s="80"/>
    </row>
    <row r="46" spans="1:5" s="15" customFormat="1" ht="12.75">
      <c r="A46" s="36"/>
      <c r="B46" s="36"/>
      <c r="D46" s="17"/>
      <c r="E46" s="17"/>
    </row>
    <row r="47" spans="1:5" s="15" customFormat="1" ht="12.75">
      <c r="A47" s="36"/>
      <c r="B47" s="36"/>
      <c r="D47" s="17"/>
      <c r="E47" s="17"/>
    </row>
    <row r="48" spans="1:5" s="15" customFormat="1" ht="12.75">
      <c r="A48" s="21"/>
      <c r="B48" s="75"/>
      <c r="C48" s="75"/>
      <c r="D48" s="17"/>
      <c r="E48" s="17"/>
    </row>
    <row r="49" spans="1:5" s="15" customFormat="1" ht="12.75">
      <c r="A49" s="21"/>
      <c r="B49" s="16"/>
      <c r="C49" s="18"/>
      <c r="D49" s="17"/>
      <c r="E49" s="17"/>
    </row>
    <row r="50" spans="1:5" s="15" customFormat="1" ht="12.75">
      <c r="A50" s="21"/>
      <c r="B50" s="16"/>
      <c r="C50" s="16"/>
      <c r="D50" s="17"/>
      <c r="E50" s="17"/>
    </row>
    <row r="51" spans="1:6" s="15" customFormat="1" ht="12.75">
      <c r="A51" s="21"/>
      <c r="B51" s="16"/>
      <c r="C51" s="16"/>
      <c r="D51" s="17"/>
      <c r="E51" s="17"/>
      <c r="F51" s="15" t="s">
        <v>38</v>
      </c>
    </row>
    <row r="52" spans="2:5" s="15" customFormat="1" ht="12.75">
      <c r="B52" s="16"/>
      <c r="C52" s="16"/>
      <c r="D52" s="17"/>
      <c r="E52" s="17"/>
    </row>
    <row r="53" spans="2:5" s="15" customFormat="1" ht="12.75">
      <c r="B53" s="18"/>
      <c r="C53" s="18"/>
      <c r="D53" s="17"/>
      <c r="E53" s="17"/>
    </row>
    <row r="54" spans="4:5" s="15" customFormat="1" ht="12.75">
      <c r="D54" s="17"/>
      <c r="E54" s="17"/>
    </row>
    <row r="55" spans="4:5" s="15" customFormat="1" ht="12.75">
      <c r="D55" s="17"/>
      <c r="E55" s="17"/>
    </row>
    <row r="56" spans="4:5" s="15" customFormat="1" ht="12.75">
      <c r="D56" s="17"/>
      <c r="E56" s="17"/>
    </row>
    <row r="57" spans="4:5" s="15" customFormat="1" ht="12.75">
      <c r="D57" s="17"/>
      <c r="E57" s="17"/>
    </row>
    <row r="58" spans="4:5" s="15" customFormat="1" ht="12.75">
      <c r="D58" s="17"/>
      <c r="E58" s="17"/>
    </row>
    <row r="59" spans="4:5" s="15" customFormat="1" ht="12.75">
      <c r="D59" s="17"/>
      <c r="E59" s="17"/>
    </row>
    <row r="60" spans="4:5" s="15" customFormat="1" ht="12.75">
      <c r="D60" s="17"/>
      <c r="E60" s="17"/>
    </row>
    <row r="61" spans="4:5" s="15" customFormat="1" ht="12.75">
      <c r="D61" s="17"/>
      <c r="E61" s="17"/>
    </row>
    <row r="62" spans="4:5" s="15" customFormat="1" ht="12.75">
      <c r="D62" s="17"/>
      <c r="E62" s="17"/>
    </row>
    <row r="63" spans="4:5" s="15" customFormat="1" ht="12.75">
      <c r="D63" s="17"/>
      <c r="E63" s="17"/>
    </row>
    <row r="64" spans="4:5" s="15" customFormat="1" ht="12.75">
      <c r="D64" s="17"/>
      <c r="E64" s="17"/>
    </row>
    <row r="65" spans="4:5" s="15" customFormat="1" ht="12.75">
      <c r="D65" s="17"/>
      <c r="E65" s="17"/>
    </row>
    <row r="66" spans="4:5" s="15" customFormat="1" ht="12.75">
      <c r="D66" s="17"/>
      <c r="E66" s="17"/>
    </row>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sheetData>
  <mergeCells count="9">
    <mergeCell ref="B48:C48"/>
    <mergeCell ref="A15:B15"/>
    <mergeCell ref="D5:E5"/>
    <mergeCell ref="A9:B9"/>
    <mergeCell ref="B43:M43"/>
    <mergeCell ref="B44:M44"/>
    <mergeCell ref="B45:M45"/>
    <mergeCell ref="C42:M42"/>
    <mergeCell ref="A10:B10"/>
  </mergeCells>
  <printOptions/>
  <pageMargins left="0.7" right="0.3937007874015748" top="0.5905511811023623" bottom="0.1968503937007874" header="0.1968503937007874" footer="0"/>
  <pageSetup fitToHeight="1" fitToWidth="1" horizontalDpi="300" verticalDpi="300" orientation="landscape" paperSize="9" scale="74" r:id="rId1"/>
</worksheet>
</file>

<file path=xl/worksheets/sheet2.xml><?xml version="1.0" encoding="utf-8"?>
<worksheet xmlns="http://schemas.openxmlformats.org/spreadsheetml/2006/main" xmlns:r="http://schemas.openxmlformats.org/officeDocument/2006/relationships">
  <sheetPr>
    <tabColor indexed="50"/>
  </sheetPr>
  <dimension ref="A1:K42"/>
  <sheetViews>
    <sheetView zoomScale="90" zoomScaleNormal="90" workbookViewId="0" topLeftCell="A1">
      <selection activeCell="C21" sqref="C21"/>
    </sheetView>
  </sheetViews>
  <sheetFormatPr defaultColWidth="11.421875" defaultRowHeight="12.75"/>
  <cols>
    <col min="1" max="1" width="11.8515625" style="0" customWidth="1"/>
    <col min="4" max="4" width="10.00390625" style="0" customWidth="1"/>
    <col min="5" max="5" width="10.140625" style="0" customWidth="1"/>
    <col min="6" max="6" width="15.8515625" style="0" customWidth="1"/>
    <col min="7" max="7" width="16.00390625" style="0" customWidth="1"/>
    <col min="8" max="8" width="17.8515625" style="0" customWidth="1"/>
    <col min="9" max="9" width="17.140625" style="0" customWidth="1"/>
    <col min="10" max="10" width="16.28125" style="0" customWidth="1"/>
    <col min="11" max="11" width="17.57421875" style="0" customWidth="1"/>
  </cols>
  <sheetData>
    <row r="1" ht="12.75">
      <c r="A1" s="43"/>
    </row>
    <row r="2" ht="12.75">
      <c r="A2" s="43"/>
    </row>
    <row r="3" spans="1:11" ht="12.75">
      <c r="A3" s="44" t="s">
        <v>57</v>
      </c>
      <c r="B3" s="45"/>
      <c r="C3" s="45"/>
      <c r="D3" s="45"/>
      <c r="E3" s="45"/>
      <c r="F3" s="45"/>
      <c r="G3" s="45"/>
      <c r="H3" s="45"/>
      <c r="I3" s="45"/>
      <c r="J3" s="45"/>
      <c r="K3" s="45"/>
    </row>
    <row r="4" spans="1:11" ht="12.75">
      <c r="A4" s="46" t="s">
        <v>51</v>
      </c>
      <c r="B4" s="45"/>
      <c r="C4" s="45"/>
      <c r="D4" s="45"/>
      <c r="E4" s="45"/>
      <c r="F4" s="45"/>
      <c r="G4" s="45"/>
      <c r="H4" s="45"/>
      <c r="I4" s="45"/>
      <c r="J4" s="45"/>
      <c r="K4" s="45"/>
    </row>
    <row r="5" spans="1:11" ht="12.75">
      <c r="A5" s="45"/>
      <c r="B5" s="45"/>
      <c r="C5" s="45"/>
      <c r="D5" s="45"/>
      <c r="E5" s="45"/>
      <c r="F5" s="45"/>
      <c r="G5" s="45"/>
      <c r="H5" s="45"/>
      <c r="I5" s="45"/>
      <c r="J5" s="45"/>
      <c r="K5" s="45"/>
    </row>
    <row r="6" spans="1:11" s="47" customFormat="1" ht="12.75">
      <c r="A6" s="45" t="s">
        <v>58</v>
      </c>
      <c r="B6" s="45"/>
      <c r="C6" s="45"/>
      <c r="D6" s="45"/>
      <c r="E6" s="45"/>
      <c r="F6" s="45"/>
      <c r="G6" s="45"/>
      <c r="H6" s="45"/>
      <c r="I6" s="45"/>
      <c r="J6" s="45"/>
      <c r="K6" s="45"/>
    </row>
    <row r="7" spans="1:11" ht="12.75">
      <c r="A7" s="10" t="s">
        <v>2</v>
      </c>
      <c r="B7" s="48"/>
      <c r="C7" s="48"/>
      <c r="D7" s="49" t="s">
        <v>59</v>
      </c>
      <c r="E7" s="50"/>
      <c r="F7" s="51" t="s">
        <v>60</v>
      </c>
      <c r="G7" s="51" t="s">
        <v>7</v>
      </c>
      <c r="H7" s="52" t="s">
        <v>61</v>
      </c>
      <c r="I7" s="51" t="s">
        <v>60</v>
      </c>
      <c r="J7" s="51" t="s">
        <v>7</v>
      </c>
      <c r="K7" s="52" t="s">
        <v>61</v>
      </c>
    </row>
    <row r="8" spans="1:11" ht="12.75">
      <c r="A8" s="53"/>
      <c r="B8" s="53"/>
      <c r="C8" s="53"/>
      <c r="D8" s="5" t="s">
        <v>9</v>
      </c>
      <c r="E8" s="5" t="s">
        <v>10</v>
      </c>
      <c r="F8" s="54" t="s">
        <v>62</v>
      </c>
      <c r="G8" s="54" t="s">
        <v>63</v>
      </c>
      <c r="H8" s="54" t="s">
        <v>64</v>
      </c>
      <c r="I8" s="54" t="s">
        <v>65</v>
      </c>
      <c r="J8" s="54" t="s">
        <v>63</v>
      </c>
      <c r="K8" s="54" t="s">
        <v>64</v>
      </c>
    </row>
    <row r="9" spans="1:11" ht="12.75">
      <c r="A9" s="55"/>
      <c r="B9" s="55"/>
      <c r="C9" s="55"/>
      <c r="D9" s="55"/>
      <c r="E9" s="55"/>
      <c r="F9" s="56" t="s">
        <v>66</v>
      </c>
      <c r="G9" s="56" t="s">
        <v>67</v>
      </c>
      <c r="H9" s="56" t="s">
        <v>67</v>
      </c>
      <c r="I9" s="56" t="s">
        <v>3</v>
      </c>
      <c r="J9" s="57" t="s">
        <v>68</v>
      </c>
      <c r="K9" s="57" t="s">
        <v>68</v>
      </c>
    </row>
    <row r="10" spans="1:11" ht="12.75">
      <c r="A10" s="53"/>
      <c r="B10" s="53"/>
      <c r="C10" s="53"/>
      <c r="D10" s="58"/>
      <c r="E10" s="58"/>
      <c r="F10" s="59"/>
      <c r="G10" s="59"/>
      <c r="H10" s="59"/>
      <c r="I10" s="59"/>
      <c r="J10" s="60"/>
      <c r="K10" s="60"/>
    </row>
    <row r="11" spans="1:11" ht="12.75">
      <c r="A11" s="61" t="s">
        <v>69</v>
      </c>
      <c r="B11" s="62"/>
      <c r="C11" s="62"/>
      <c r="D11" s="63">
        <v>1.03</v>
      </c>
      <c r="E11" s="64">
        <v>0.002</v>
      </c>
      <c r="F11" s="65">
        <v>55325885</v>
      </c>
      <c r="G11" s="65">
        <f>54005860+1320025</f>
        <v>55325885</v>
      </c>
      <c r="H11" s="65">
        <f>G11-F11</f>
        <v>0</v>
      </c>
      <c r="I11" s="65">
        <v>53705502</v>
      </c>
      <c r="J11" s="65">
        <v>53781098</v>
      </c>
      <c r="K11" s="65">
        <f>J11-I11</f>
        <v>75596</v>
      </c>
    </row>
    <row r="12" spans="1:11" ht="12.75">
      <c r="A12" s="66" t="s">
        <v>70</v>
      </c>
      <c r="B12" s="62"/>
      <c r="C12" s="62"/>
      <c r="D12" s="63">
        <v>0.47</v>
      </c>
      <c r="E12" s="63">
        <v>0.02</v>
      </c>
      <c r="F12" s="65">
        <v>15671478</v>
      </c>
      <c r="G12" s="65">
        <f>432445+9567602+5671431</f>
        <v>15671478</v>
      </c>
      <c r="H12" s="65">
        <f>G12-F12</f>
        <v>0</v>
      </c>
      <c r="I12" s="65">
        <v>34518884</v>
      </c>
      <c r="J12" s="65">
        <v>35060771</v>
      </c>
      <c r="K12" s="65">
        <f>J12-I12</f>
        <v>541887</v>
      </c>
    </row>
    <row r="13" spans="1:11" ht="12.75">
      <c r="A13" s="53"/>
      <c r="B13" s="53"/>
      <c r="C13" s="53"/>
      <c r="D13" s="67"/>
      <c r="E13" s="58"/>
      <c r="F13" s="65"/>
      <c r="G13" s="65"/>
      <c r="H13" s="65"/>
      <c r="I13" s="65"/>
      <c r="J13" s="65"/>
      <c r="K13" s="65"/>
    </row>
    <row r="14" spans="1:11" ht="12.75">
      <c r="A14" s="45"/>
      <c r="B14" s="45"/>
      <c r="C14" s="45"/>
      <c r="D14" s="68"/>
      <c r="E14" s="68"/>
      <c r="F14" s="69"/>
      <c r="G14" s="69"/>
      <c r="H14" s="69"/>
      <c r="I14" s="69"/>
      <c r="J14" s="69"/>
      <c r="K14" s="69"/>
    </row>
    <row r="15" spans="1:11" ht="12.75">
      <c r="A15" s="70" t="s">
        <v>71</v>
      </c>
      <c r="B15" s="45"/>
      <c r="C15" s="45"/>
      <c r="D15" s="68"/>
      <c r="E15" s="68"/>
      <c r="F15" s="69"/>
      <c r="G15" s="69"/>
      <c r="H15" s="69"/>
      <c r="I15" s="69"/>
      <c r="J15" s="69"/>
      <c r="K15" s="69"/>
    </row>
    <row r="16" spans="1:11" s="53" customFormat="1" ht="10.5">
      <c r="A16" s="10" t="s">
        <v>2</v>
      </c>
      <c r="B16" s="48"/>
      <c r="C16" s="48"/>
      <c r="D16" s="49" t="s">
        <v>59</v>
      </c>
      <c r="E16" s="71"/>
      <c r="F16" s="7" t="s">
        <v>72</v>
      </c>
      <c r="G16" s="7" t="s">
        <v>72</v>
      </c>
      <c r="H16" s="6" t="s">
        <v>73</v>
      </c>
      <c r="I16" s="6" t="s">
        <v>74</v>
      </c>
      <c r="J16" s="65"/>
      <c r="K16" s="65"/>
    </row>
    <row r="17" spans="4:11" s="53" customFormat="1" ht="10.5">
      <c r="D17" s="5" t="s">
        <v>9</v>
      </c>
      <c r="E17" s="5" t="s">
        <v>10</v>
      </c>
      <c r="F17" s="2" t="s">
        <v>75</v>
      </c>
      <c r="G17" s="2" t="s">
        <v>75</v>
      </c>
      <c r="H17" s="72" t="s">
        <v>76</v>
      </c>
      <c r="I17" s="72" t="s">
        <v>64</v>
      </c>
      <c r="J17" s="65"/>
      <c r="K17" s="65"/>
    </row>
    <row r="18" spans="4:11" s="53" customFormat="1" ht="10.5">
      <c r="D18" s="58"/>
      <c r="E18" s="58"/>
      <c r="F18" s="2" t="s">
        <v>77</v>
      </c>
      <c r="G18" s="72" t="s">
        <v>78</v>
      </c>
      <c r="H18" s="2" t="s">
        <v>79</v>
      </c>
      <c r="I18" s="72" t="s">
        <v>80</v>
      </c>
      <c r="J18" s="65"/>
      <c r="K18" s="65"/>
    </row>
    <row r="19" spans="1:11" s="53" customFormat="1" ht="10.5">
      <c r="A19" s="55"/>
      <c r="B19" s="55"/>
      <c r="C19" s="55"/>
      <c r="D19" s="73"/>
      <c r="E19" s="73"/>
      <c r="F19" s="20" t="s">
        <v>81</v>
      </c>
      <c r="G19" s="20" t="s">
        <v>82</v>
      </c>
      <c r="H19" s="20" t="s">
        <v>83</v>
      </c>
      <c r="I19" s="20" t="s">
        <v>83</v>
      </c>
      <c r="J19" s="65"/>
      <c r="K19" s="65"/>
    </row>
    <row r="20" spans="1:11" ht="12.75">
      <c r="A20" s="53"/>
      <c r="B20" s="53"/>
      <c r="C20" s="45"/>
      <c r="D20" s="68"/>
      <c r="E20" s="68"/>
      <c r="F20" s="69"/>
      <c r="G20" s="69"/>
      <c r="H20" s="69"/>
      <c r="I20" s="69"/>
      <c r="J20" s="69"/>
      <c r="K20" s="69"/>
    </row>
    <row r="21" spans="1:11" s="53" customFormat="1" ht="12.75">
      <c r="A21" s="62" t="s">
        <v>84</v>
      </c>
      <c r="D21" s="63">
        <v>1.88</v>
      </c>
      <c r="E21" s="64">
        <v>0.011</v>
      </c>
      <c r="F21" s="65">
        <v>50410384</v>
      </c>
      <c r="G21" s="65">
        <v>30941488</v>
      </c>
      <c r="H21" s="65">
        <v>81518815</v>
      </c>
      <c r="I21" s="65">
        <f>+H21-G21-F21</f>
        <v>166943</v>
      </c>
      <c r="J21" s="65"/>
      <c r="K21" s="65"/>
    </row>
    <row r="22" spans="1:11" ht="12.75">
      <c r="A22" s="45"/>
      <c r="B22" s="45"/>
      <c r="C22" s="45"/>
      <c r="D22" s="68"/>
      <c r="E22" s="68"/>
      <c r="F22" s="69"/>
      <c r="G22" s="69"/>
      <c r="H22" s="69"/>
      <c r="I22" s="69"/>
      <c r="J22" s="69"/>
      <c r="K22" s="69"/>
    </row>
    <row r="23" spans="1:11" ht="12.75">
      <c r="A23" s="45"/>
      <c r="B23" s="45"/>
      <c r="C23" s="45"/>
      <c r="D23" s="68"/>
      <c r="E23" s="68"/>
      <c r="F23" s="69"/>
      <c r="G23" s="69"/>
      <c r="H23" s="69"/>
      <c r="I23" s="69"/>
      <c r="J23" s="69"/>
      <c r="K23" s="69"/>
    </row>
    <row r="24" spans="1:11" ht="12.75">
      <c r="A24" s="45"/>
      <c r="B24" s="45"/>
      <c r="C24" s="45"/>
      <c r="D24" s="45"/>
      <c r="E24" s="45"/>
      <c r="F24" s="45"/>
      <c r="G24" s="45"/>
      <c r="H24" s="45"/>
      <c r="I24" s="45"/>
      <c r="J24" s="45"/>
      <c r="K24" s="45"/>
    </row>
    <row r="25" spans="1:11" ht="12.75">
      <c r="A25" s="45"/>
      <c r="B25" s="74"/>
      <c r="C25" s="74"/>
      <c r="D25" s="74"/>
      <c r="E25" s="74"/>
      <c r="F25" s="74"/>
      <c r="G25" s="74"/>
      <c r="H25" s="74"/>
      <c r="I25" s="74"/>
      <c r="J25" s="74"/>
      <c r="K25" s="74"/>
    </row>
    <row r="26" spans="1:11" ht="12.75">
      <c r="A26" s="74"/>
      <c r="B26" s="74"/>
      <c r="C26" s="74"/>
      <c r="D26" s="74"/>
      <c r="E26" s="74"/>
      <c r="F26" s="74"/>
      <c r="G26" s="74"/>
      <c r="H26" s="74"/>
      <c r="I26" s="74"/>
      <c r="J26" s="74"/>
      <c r="K26" s="74"/>
    </row>
    <row r="27" spans="1:11" ht="12.75">
      <c r="A27" s="74"/>
      <c r="B27" s="74"/>
      <c r="C27" s="74"/>
      <c r="D27" s="74"/>
      <c r="E27" s="74"/>
      <c r="F27" s="74"/>
      <c r="G27" s="74"/>
      <c r="H27" s="74"/>
      <c r="I27" s="74"/>
      <c r="J27" s="74"/>
      <c r="K27" s="74"/>
    </row>
    <row r="28" spans="1:11" ht="12.75">
      <c r="A28" s="74"/>
      <c r="B28" s="74"/>
      <c r="C28" s="74"/>
      <c r="D28" s="74"/>
      <c r="E28" s="74"/>
      <c r="F28" s="74"/>
      <c r="G28" s="74"/>
      <c r="H28" s="74"/>
      <c r="I28" s="74"/>
      <c r="J28" s="74"/>
      <c r="K28" s="74"/>
    </row>
    <row r="42" ht="12.75">
      <c r="A42">
        <f>22701586+55852</f>
        <v>22757438</v>
      </c>
    </row>
  </sheetData>
  <printOptions/>
  <pageMargins left="1.4960629921259843" right="0.7480314960629921" top="0.4724409448818898" bottom="0.6299212598425197" header="0" footer="0"/>
  <pageSetup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AAAlvara</cp:lastModifiedBy>
  <cp:lastPrinted>2005-09-06T21:33:40Z</cp:lastPrinted>
  <dcterms:created xsi:type="dcterms:W3CDTF">1998-12-29T20:15:03Z</dcterms:created>
  <dcterms:modified xsi:type="dcterms:W3CDTF">2005-09-06T22:46:56Z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