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90" windowWidth="9570" windowHeight="5475" activeTab="0"/>
  </bookViews>
  <sheets>
    <sheet name="CUMPV" sheetId="1" r:id="rId1"/>
    <sheet name="CMUTUAL" sheetId="2" r:id="rId2"/>
  </sheets>
  <definedNames>
    <definedName name="_xlnm.Print_Area" localSheetId="1">'CMUTUAL'!$A$1:$K$23</definedName>
    <definedName name="_xlnm.Print_Area" localSheetId="0">'CUMPV'!$A$1:$M$44</definedName>
  </definedNames>
  <calcPr fullCalcOnLoad="1"/>
</workbook>
</file>

<file path=xl/sharedStrings.xml><?xml version="1.0" encoding="utf-8"?>
<sst xmlns="http://schemas.openxmlformats.org/spreadsheetml/2006/main" count="116" uniqueCount="88">
  <si>
    <t>CUMPLIMIENTO DE NORMAS</t>
  </si>
  <si>
    <t>SEGUROS DE VIDA</t>
  </si>
  <si>
    <t>SOCIEDAD</t>
  </si>
  <si>
    <t>PATRIMONIO</t>
  </si>
  <si>
    <t>OBLIGACION DE</t>
  </si>
  <si>
    <t>INVER.REPRES.</t>
  </si>
  <si>
    <t>SUPERAV.(DEF) DE</t>
  </si>
  <si>
    <t>INVERSIONES</t>
  </si>
  <si>
    <t>DE RIESGO</t>
  </si>
  <si>
    <t>TOTAL</t>
  </si>
  <si>
    <t>FINANC.</t>
  </si>
  <si>
    <t>INVERTIR LAS RES.</t>
  </si>
  <si>
    <t>DE RES.TEC Y PAT.</t>
  </si>
  <si>
    <t>INV.REPRES.DE RES.</t>
  </si>
  <si>
    <t>REPRESENTATIVAS</t>
  </si>
  <si>
    <t>TEC. Y PAT.RIESGO</t>
  </si>
  <si>
    <t xml:space="preserve">TOTAL ASEGURADORAS    </t>
  </si>
  <si>
    <t>ENDEUDAMIENTO</t>
  </si>
  <si>
    <t>Caja Reaseguradora</t>
  </si>
  <si>
    <t>Chilena Consolidada</t>
  </si>
  <si>
    <t>Consorcio Nacional</t>
  </si>
  <si>
    <t>Cruz del Sur</t>
  </si>
  <si>
    <t>Interamericana</t>
  </si>
  <si>
    <t>Renta Nacional</t>
  </si>
  <si>
    <t xml:space="preserve">Vida Corp  </t>
  </si>
  <si>
    <t>PAT. RIESGO</t>
  </si>
  <si>
    <t>RES. PREVIS.</t>
  </si>
  <si>
    <t>RES. NO PREVIS.</t>
  </si>
  <si>
    <t>RES. ADIC.</t>
  </si>
  <si>
    <t>INVERSIONES NO</t>
  </si>
  <si>
    <t>Ohio National</t>
  </si>
  <si>
    <t xml:space="preserve">RESERVAS </t>
  </si>
  <si>
    <t>TECNICAS</t>
  </si>
  <si>
    <t>BBVA</t>
  </si>
  <si>
    <t xml:space="preserve">Cigna   </t>
  </si>
  <si>
    <t xml:space="preserve">Huelén </t>
  </si>
  <si>
    <t>Banchile</t>
  </si>
  <si>
    <t>Met Life</t>
  </si>
  <si>
    <t>TOTAL REASEGURADORAS</t>
  </si>
  <si>
    <t xml:space="preserve">  </t>
  </si>
  <si>
    <t>CN Life</t>
  </si>
  <si>
    <t xml:space="preserve">Euroamérica </t>
  </si>
  <si>
    <t>Bci</t>
  </si>
  <si>
    <t xml:space="preserve">ING </t>
  </si>
  <si>
    <t>Principal</t>
  </si>
  <si>
    <t xml:space="preserve">Cardif   </t>
  </si>
  <si>
    <t>Penta</t>
  </si>
  <si>
    <t xml:space="preserve">ABN Amro </t>
  </si>
  <si>
    <t xml:space="preserve">Ace </t>
  </si>
  <si>
    <t>Bice</t>
  </si>
  <si>
    <t xml:space="preserve">Mapfre  </t>
  </si>
  <si>
    <t xml:space="preserve">Security Previsión </t>
  </si>
  <si>
    <t>Security Rentas</t>
  </si>
  <si>
    <t>MUTUALIDADES</t>
  </si>
  <si>
    <t>(al 30 de junio de 2006, montos expresados en miles de pesos)</t>
  </si>
  <si>
    <t>VENTAS INSTITUCIONALES EXCLUSIVAMENTE</t>
  </si>
  <si>
    <t xml:space="preserve">             ENDEUDAMIENTO</t>
  </si>
  <si>
    <t>OBLIGACION</t>
  </si>
  <si>
    <t>SUPERAVIT (DEF)</t>
  </si>
  <si>
    <t>DE INV.LAS</t>
  </si>
  <si>
    <t>REPRESENT.</t>
  </si>
  <si>
    <t>DE INV.REPRES.</t>
  </si>
  <si>
    <t>DE INV.EL</t>
  </si>
  <si>
    <t>R.TECNICAS</t>
  </si>
  <si>
    <t>DE RES.TEC</t>
  </si>
  <si>
    <t>DE PATRIMONIO</t>
  </si>
  <si>
    <t>VENTAS INSTITUCIONALES Y NO INSTITUCIONALES SIMULTANEAMENTE</t>
  </si>
  <si>
    <t xml:space="preserve">OBLIGACION DE </t>
  </si>
  <si>
    <t xml:space="preserve">INVERSIONES </t>
  </si>
  <si>
    <t>SUPERAVIT (DEFICIT)</t>
  </si>
  <si>
    <t xml:space="preserve"> INV.LAS R.TEC.</t>
  </si>
  <si>
    <t>TOTALES</t>
  </si>
  <si>
    <t>Y  PAT.RIESGO</t>
  </si>
  <si>
    <t>Y  PATRIMONIO</t>
  </si>
  <si>
    <t>REPRES.DE R.TECN.</t>
  </si>
  <si>
    <t>DE RES.TECNICAS</t>
  </si>
  <si>
    <t>VENTAS NO INST.</t>
  </si>
  <si>
    <t>VENTAS INST.</t>
  </si>
  <si>
    <t>Y PATRIMONIO</t>
  </si>
  <si>
    <t>1)</t>
  </si>
  <si>
    <t>Mut. de Carabineros</t>
  </si>
  <si>
    <t>Mut. Ejérc. y Aviac.</t>
  </si>
  <si>
    <t>Mutual de Seguros</t>
  </si>
  <si>
    <t>Santander (2)</t>
  </si>
  <si>
    <t>CLC (1)</t>
  </si>
  <si>
    <t>2)</t>
  </si>
  <si>
    <t>Por resolución Nº352 del 10.08.06 de esta Superintendencia, se aprobó el cambio de nombre de Altavida Santander Seguros de Vida S.A. por el de Santander Seguros de Vida S.A.</t>
  </si>
  <si>
    <t>La compañía presenta déficit de inversiones representativas de Patrimonio de Riesgo ascendente a M$329, producto de insuficiencia de inversiones, situación que será solucionada con un nuevo aporte de capital. Cabe señalar que se aprobó la existencia de esta compañía por Resolución Nº237 del 05.06.06 de esta SVS.</t>
  </si>
</sst>
</file>

<file path=xl/styles.xml><?xml version="1.0" encoding="utf-8"?>
<styleSheet xmlns="http://schemas.openxmlformats.org/spreadsheetml/2006/main">
  <numFmts count="7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pta&quot;;\-#,##0\ &quot;pta&quot;"/>
    <numFmt numFmtId="181" formatCode="#,##0\ &quot;pta&quot;;[Red]\-#,##0\ &quot;pta&quot;"/>
    <numFmt numFmtId="182" formatCode="#,##0.00\ &quot;pta&quot;;\-#,##0.00\ &quot;pta&quot;"/>
    <numFmt numFmtId="183" formatCode="#,##0.00\ &quot;pta&quot;;[Red]\-#,##0.00\ &quot;pta&quot;"/>
    <numFmt numFmtId="184" formatCode="_-* #,##0\ &quot;pta&quot;_-;\-* #,##0\ &quot;pta&quot;_-;_-* &quot;-&quot;\ &quot;pta&quot;_-;_-@_-"/>
    <numFmt numFmtId="185" formatCode="_-* #,##0\ _p_t_a_-;\-* #,##0\ _p_t_a_-;_-* &quot;-&quot;\ _p_t_a_-;_-@_-"/>
    <numFmt numFmtId="186" formatCode="_-* #,##0.00\ &quot;pta&quot;_-;\-* #,##0.00\ &quot;pta&quot;_-;_-* &quot;-&quot;??\ &quot;pta&quot;_-;_-@_-"/>
    <numFmt numFmtId="187" formatCode="_-* #,##0.00\ _p_t_a_-;\-* #,##0.00\ _p_t_a_-;_-* &quot;-&quot;??\ _p_t_a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Ch$&quot;#,##0_);\(&quot;Ch$&quot;#,##0\)"/>
    <numFmt numFmtId="195" formatCode="&quot;Ch$&quot;#,##0_);[Red]\(&quot;Ch$&quot;#,##0\)"/>
    <numFmt numFmtId="196" formatCode="&quot;Ch$&quot;#,##0.00_);\(&quot;Ch$&quot;#,##0.00\)"/>
    <numFmt numFmtId="197" formatCode="&quot;Ch$&quot;#,##0.00_);[Red]\(&quot;Ch$&quot;#,##0.00\)"/>
    <numFmt numFmtId="198" formatCode="_(&quot;Ch$&quot;* #,##0_);_(&quot;Ch$&quot;* \(#,##0\);_(&quot;Ch$&quot;* &quot;-&quot;_);_(@_)"/>
    <numFmt numFmtId="199" formatCode="_(&quot;Ch$&quot;* #,##0.00_);_(&quot;Ch$&quot;* \(#,##0.00\);_(&quot;Ch$&quot;* &quot;-&quot;??_);_(@_)"/>
    <numFmt numFmtId="200" formatCode="#,##0\ &quot;Pts&quot;;\-#,##0\ &quot;Pts&quot;"/>
    <numFmt numFmtId="201" formatCode="#,##0\ &quot;Pts&quot;;[Red]\-#,##0\ &quot;Pts&quot;"/>
    <numFmt numFmtId="202" formatCode="#,##0.00\ &quot;Pts&quot;;\-#,##0.00\ &quot;Pts&quot;"/>
    <numFmt numFmtId="203" formatCode="#,##0.00\ &quot;Pts&quot;;[Red]\-#,##0.00\ &quot;Pts&quot;"/>
    <numFmt numFmtId="204" formatCode="_-* #,##0\ &quot;Pts&quot;_-;\-* #,##0\ &quot;Pts&quot;_-;_-* &quot;-&quot;\ &quot;Pts&quot;_-;_-@_-"/>
    <numFmt numFmtId="205" formatCode="_-* #,##0\ _P_t_s_-;\-* #,##0\ _P_t_s_-;_-* &quot;-&quot;\ _P_t_s_-;_-@_-"/>
    <numFmt numFmtId="206" formatCode="_-* #,##0.00\ &quot;Pts&quot;_-;\-* #,##0.00\ &quot;Pts&quot;_-;_-* &quot;-&quot;??\ &quot;Pts&quot;_-;_-@_-"/>
    <numFmt numFmtId="207" formatCode="_-* #,##0.00\ _P_t_s_-;\-* #,##0.00\ _P_t_s_-;_-* &quot;-&quot;??\ _P_t_s_-;_-@_-"/>
    <numFmt numFmtId="208" formatCode="#,##0\ &quot;$&quot;_);\(#,##0\ &quot;$&quot;\)"/>
    <numFmt numFmtId="209" formatCode="#,##0\ &quot;$&quot;_);[Red]\(#,##0\ &quot;$&quot;\)"/>
    <numFmt numFmtId="210" formatCode="#,##0.00\ &quot;$&quot;_);\(#,##0.00\ &quot;$&quot;\)"/>
    <numFmt numFmtId="211" formatCode="#,##0.00\ &quot;$&quot;_);[Red]\(#,##0.00\ &quot;$&quot;\)"/>
    <numFmt numFmtId="212" formatCode="_ * #,##0_)\ &quot;$&quot;_ ;_ * \(#,##0\)\ &quot;$&quot;_ ;_ * &quot;-&quot;_)\ &quot;$&quot;_ ;_ @_ "/>
    <numFmt numFmtId="213" formatCode="_ * #,##0_)\ _$_ ;_ * \(#,##0\)\ _$_ ;_ * &quot;-&quot;_)\ _$_ ;_ @_ "/>
    <numFmt numFmtId="214" formatCode="_ * #,##0.00_)\ &quot;$&quot;_ ;_ * \(#,##0.00\)\ &quot;$&quot;_ ;_ * &quot;-&quot;??_)\ &quot;$&quot;_ ;_ @_ "/>
    <numFmt numFmtId="215" formatCode="_ * #,##0.00_)\ _$_ ;_ * \(#,##0.00\)\ _$_ ;_ * &quot;-&quot;??_)\ _$_ ;_ @_ "/>
    <numFmt numFmtId="216" formatCode="#,##0&quot; Pts&quot;;\-#,##0&quot; Pts&quot;"/>
    <numFmt numFmtId="217" formatCode="#,##0&quot; Pts&quot;;[Red]\-#,##0&quot; Pts&quot;"/>
    <numFmt numFmtId="218" formatCode="#,##0.00&quot; Pts&quot;;\-#,##0.00&quot; Pts&quot;"/>
    <numFmt numFmtId="219" formatCode="#,##0.00&quot; Pts&quot;;[Red]\-#,##0.00&quot; Pts&quot;"/>
    <numFmt numFmtId="220" formatCode="#,##0.000"/>
    <numFmt numFmtId="221" formatCode="0.00000000"/>
    <numFmt numFmtId="222" formatCode="0.0000000"/>
    <numFmt numFmtId="223" formatCode="0.000000"/>
    <numFmt numFmtId="224" formatCode="0.00000"/>
    <numFmt numFmtId="225" formatCode="0.0000"/>
    <numFmt numFmtId="226" formatCode="#,##0.0"/>
  </numFmts>
  <fonts count="10">
    <font>
      <sz val="10"/>
      <name val="MS Sans Serif"/>
      <family val="0"/>
    </font>
    <font>
      <b/>
      <sz val="10"/>
      <name val="MS Sans Serif"/>
      <family val="0"/>
    </font>
    <font>
      <i/>
      <sz val="10"/>
      <name val="MS Sans Serif"/>
      <family val="0"/>
    </font>
    <font>
      <b/>
      <i/>
      <sz val="10"/>
      <name val="MS Sans Serif"/>
      <family val="0"/>
    </font>
    <font>
      <sz val="8"/>
      <name val="MS Sans Serif"/>
      <family val="0"/>
    </font>
    <font>
      <sz val="9"/>
      <name val="MS Sans Serif"/>
      <family val="2"/>
    </font>
    <font>
      <sz val="10"/>
      <color indexed="10"/>
      <name val="MS Sans Serif"/>
      <family val="2"/>
    </font>
    <font>
      <u val="single"/>
      <sz val="8"/>
      <color indexed="12"/>
      <name val="MS Sans Serif"/>
      <family val="0"/>
    </font>
    <font>
      <u val="single"/>
      <sz val="8"/>
      <color indexed="36"/>
      <name val="MS Sans Serif"/>
      <family val="0"/>
    </font>
    <font>
      <sz val="10"/>
      <name val="Times New Roman"/>
      <family val="0"/>
    </font>
  </fonts>
  <fills count="2">
    <fill>
      <patternFill/>
    </fill>
    <fill>
      <patternFill patternType="gray125"/>
    </fill>
  </fills>
  <borders count="4">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217" fontId="0" fillId="0" borderId="0" applyFont="0" applyFill="0" applyBorder="0" applyAlignment="0" applyProtection="0"/>
    <xf numFmtId="217" fontId="0" fillId="0" borderId="0" applyFon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3" fontId="0" fillId="0" borderId="0" xfId="0" applyNumberFormat="1" applyAlignment="1">
      <alignment horizontal="right"/>
    </xf>
    <xf numFmtId="3" fontId="4" fillId="0" borderId="0" xfId="0" applyNumberFormat="1" applyFont="1" applyAlignment="1" quotePrefix="1">
      <alignment horizontal="right"/>
    </xf>
    <xf numFmtId="3" fontId="0" fillId="0" borderId="0" xfId="0" applyNumberFormat="1" applyBorder="1" applyAlignment="1">
      <alignment horizontal="right"/>
    </xf>
    <xf numFmtId="3" fontId="4" fillId="0" borderId="0" xfId="0" applyNumberFormat="1" applyFont="1" applyBorder="1" applyAlignment="1" quotePrefix="1">
      <alignment horizontal="right"/>
    </xf>
    <xf numFmtId="3" fontId="4" fillId="0" borderId="0" xfId="0" applyNumberFormat="1" applyFont="1" applyBorder="1" applyAlignment="1">
      <alignment horizontal="right"/>
    </xf>
    <xf numFmtId="3" fontId="4" fillId="0" borderId="1" xfId="0" applyNumberFormat="1" applyFont="1" applyBorder="1" applyAlignment="1">
      <alignment horizontal="right"/>
    </xf>
    <xf numFmtId="3" fontId="4" fillId="0" borderId="1" xfId="0" applyNumberFormat="1" applyFont="1" applyBorder="1" applyAlignment="1" quotePrefix="1">
      <alignment horizontal="right"/>
    </xf>
    <xf numFmtId="3" fontId="0" fillId="0" borderId="2" xfId="0" applyNumberFormat="1" applyBorder="1" applyAlignment="1">
      <alignment horizontal="right"/>
    </xf>
    <xf numFmtId="3" fontId="4" fillId="0" borderId="0" xfId="0" applyNumberFormat="1" applyFont="1" applyBorder="1" applyAlignment="1" quotePrefix="1">
      <alignment horizontal="center"/>
    </xf>
    <xf numFmtId="3" fontId="4" fillId="0" borderId="1" xfId="0" applyNumberFormat="1" applyFont="1" applyBorder="1" applyAlignment="1">
      <alignment horizontal="left"/>
    </xf>
    <xf numFmtId="3" fontId="0" fillId="0" borderId="0" xfId="0" applyNumberFormat="1" applyFont="1" applyAlignment="1" quotePrefix="1">
      <alignment horizontal="left"/>
    </xf>
    <xf numFmtId="3" fontId="4" fillId="0" borderId="1" xfId="0" applyNumberFormat="1" applyFont="1" applyBorder="1" applyAlignment="1">
      <alignment horizontal="center"/>
    </xf>
    <xf numFmtId="3" fontId="4" fillId="0" borderId="0" xfId="0" applyNumberFormat="1" applyFont="1" applyAlignment="1">
      <alignment horizontal="right"/>
    </xf>
    <xf numFmtId="3" fontId="1" fillId="0" borderId="0" xfId="0" applyNumberFormat="1" applyFont="1" applyAlignment="1">
      <alignment/>
    </xf>
    <xf numFmtId="3" fontId="0" fillId="0" borderId="0" xfId="0" applyNumberFormat="1" applyFont="1" applyFill="1" applyAlignment="1">
      <alignment horizontal="right"/>
    </xf>
    <xf numFmtId="3" fontId="0" fillId="0" borderId="0" xfId="0" applyNumberFormat="1" applyFill="1" applyAlignment="1">
      <alignment horizontal="right"/>
    </xf>
    <xf numFmtId="3" fontId="0" fillId="0" borderId="0" xfId="0" applyNumberFormat="1" applyFont="1" applyFill="1" applyAlignment="1">
      <alignment horizontal="left"/>
    </xf>
    <xf numFmtId="4" fontId="0" fillId="0" borderId="0" xfId="0" applyNumberFormat="1" applyFill="1" applyAlignment="1">
      <alignment horizontal="right"/>
    </xf>
    <xf numFmtId="3" fontId="0" fillId="0" borderId="0" xfId="0" applyNumberFormat="1" applyFont="1" applyFill="1" applyAlignment="1" quotePrefix="1">
      <alignment horizontal="left"/>
    </xf>
    <xf numFmtId="3" fontId="4" fillId="0" borderId="2" xfId="0" applyNumberFormat="1" applyFont="1" applyBorder="1" applyAlignment="1" quotePrefix="1">
      <alignment horizontal="right"/>
    </xf>
    <xf numFmtId="3" fontId="4" fillId="0" borderId="2" xfId="0" applyNumberFormat="1" applyFont="1" applyBorder="1" applyAlignment="1" quotePrefix="1">
      <alignment horizontal="center"/>
    </xf>
    <xf numFmtId="3" fontId="4" fillId="0" borderId="2" xfId="0" applyNumberFormat="1" applyFont="1" applyBorder="1" applyAlignment="1">
      <alignment horizontal="right"/>
    </xf>
    <xf numFmtId="3" fontId="0" fillId="0" borderId="0" xfId="0" applyNumberFormat="1" applyFill="1" applyAlignment="1">
      <alignment horizontal="left"/>
    </xf>
    <xf numFmtId="4" fontId="0" fillId="0" borderId="0" xfId="0" applyNumberFormat="1" applyFont="1" applyFill="1" applyAlignment="1">
      <alignment horizontal="right"/>
    </xf>
    <xf numFmtId="3" fontId="6" fillId="0" borderId="0" xfId="0" applyNumberFormat="1" applyFont="1" applyFill="1" applyAlignment="1">
      <alignment horizontal="right"/>
    </xf>
    <xf numFmtId="3" fontId="1" fillId="0" borderId="0" xfId="0" applyNumberFormat="1" applyFont="1" applyFill="1" applyAlignment="1">
      <alignment horizontal="right"/>
    </xf>
    <xf numFmtId="3" fontId="4" fillId="0" borderId="3" xfId="0" applyNumberFormat="1" applyFont="1" applyFill="1" applyBorder="1" applyAlignment="1" quotePrefix="1">
      <alignment horizontal="left"/>
    </xf>
    <xf numFmtId="3" fontId="0" fillId="0" borderId="3" xfId="0" applyNumberFormat="1" applyFill="1" applyBorder="1" applyAlignment="1">
      <alignment horizontal="right"/>
    </xf>
    <xf numFmtId="4" fontId="0" fillId="0" borderId="3" xfId="0" applyNumberFormat="1" applyFill="1" applyBorder="1" applyAlignment="1">
      <alignment horizontal="right"/>
    </xf>
    <xf numFmtId="3" fontId="4" fillId="0" borderId="0" xfId="0" applyNumberFormat="1" applyFont="1" applyFill="1" applyAlignment="1">
      <alignment horizontal="left"/>
    </xf>
    <xf numFmtId="3" fontId="4" fillId="0" borderId="3" xfId="0" applyNumberFormat="1" applyFont="1" applyFill="1" applyBorder="1" applyAlignment="1">
      <alignment horizontal="left"/>
    </xf>
    <xf numFmtId="3" fontId="0" fillId="0" borderId="0" xfId="0" applyNumberFormat="1" applyFill="1" applyBorder="1" applyAlignment="1">
      <alignment horizontal="right"/>
    </xf>
    <xf numFmtId="3" fontId="0" fillId="0" borderId="2" xfId="0" applyNumberFormat="1" applyFont="1" applyFill="1" applyBorder="1" applyAlignment="1">
      <alignment horizontal="left"/>
    </xf>
    <xf numFmtId="3" fontId="0" fillId="0" borderId="2" xfId="0" applyNumberFormat="1" applyFill="1" applyBorder="1" applyAlignment="1">
      <alignment horizontal="right"/>
    </xf>
    <xf numFmtId="4" fontId="0" fillId="0" borderId="2" xfId="0" applyNumberFormat="1" applyFill="1" applyBorder="1" applyAlignment="1">
      <alignment horizontal="right"/>
    </xf>
    <xf numFmtId="3" fontId="0" fillId="0" borderId="2" xfId="0" applyNumberFormat="1" applyFont="1" applyFill="1" applyBorder="1" applyAlignment="1">
      <alignment horizontal="right"/>
    </xf>
    <xf numFmtId="3" fontId="5" fillId="0" borderId="0" xfId="0" applyNumberFormat="1" applyFont="1" applyFill="1" applyAlignment="1">
      <alignment horizontal="left" vertical="top"/>
    </xf>
    <xf numFmtId="3" fontId="0" fillId="0" borderId="0" xfId="0" applyNumberFormat="1" applyFill="1" applyAlignment="1" quotePrefix="1">
      <alignment horizontal="left"/>
    </xf>
    <xf numFmtId="3" fontId="1" fillId="0" borderId="0" xfId="0" applyNumberFormat="1" applyFont="1" applyAlignment="1">
      <alignment horizontal="left"/>
    </xf>
    <xf numFmtId="3" fontId="1" fillId="0" borderId="0" xfId="0" applyNumberFormat="1" applyFont="1" applyAlignment="1">
      <alignment horizontal="right"/>
    </xf>
    <xf numFmtId="3" fontId="1" fillId="0" borderId="0" xfId="0" applyNumberFormat="1" applyFont="1" applyAlignment="1" quotePrefix="1">
      <alignment horizontal="left"/>
    </xf>
    <xf numFmtId="0" fontId="4" fillId="0" borderId="0" xfId="0" applyFont="1" applyAlignment="1">
      <alignment/>
    </xf>
    <xf numFmtId="0" fontId="0" fillId="0" borderId="0" xfId="0" applyBorder="1" applyAlignment="1">
      <alignment/>
    </xf>
    <xf numFmtId="0" fontId="5" fillId="0" borderId="0" xfId="0" applyFont="1" applyBorder="1" applyAlignment="1">
      <alignment/>
    </xf>
    <xf numFmtId="0" fontId="4" fillId="0" borderId="0" xfId="0" applyFont="1" applyBorder="1" applyAlignment="1">
      <alignment/>
    </xf>
    <xf numFmtId="2" fontId="4" fillId="0" borderId="3" xfId="0" applyNumberFormat="1" applyFont="1" applyBorder="1" applyAlignment="1">
      <alignment horizontal="center"/>
    </xf>
    <xf numFmtId="0" fontId="9" fillId="0" borderId="0" xfId="0" applyFont="1" applyBorder="1" applyAlignment="1">
      <alignment/>
    </xf>
    <xf numFmtId="0" fontId="0" fillId="0" borderId="0" xfId="0" applyFont="1" applyAlignment="1">
      <alignment/>
    </xf>
    <xf numFmtId="0" fontId="4" fillId="0" borderId="1" xfId="0" applyFont="1" applyBorder="1" applyAlignment="1">
      <alignment/>
    </xf>
    <xf numFmtId="3" fontId="4" fillId="0" borderId="3" xfId="0" applyNumberFormat="1" applyFont="1" applyBorder="1" applyAlignment="1" quotePrefix="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1" xfId="0" applyFont="1" applyBorder="1" applyAlignment="1" quotePrefix="1">
      <alignment horizontal="center"/>
    </xf>
    <xf numFmtId="0" fontId="4" fillId="0" borderId="0" xfId="0" applyFont="1" applyAlignment="1">
      <alignment horizontal="center"/>
    </xf>
    <xf numFmtId="0" fontId="4" fillId="0" borderId="2" xfId="0" applyFont="1" applyBorder="1" applyAlignment="1">
      <alignment/>
    </xf>
    <xf numFmtId="0" fontId="4" fillId="0" borderId="2" xfId="0" applyFont="1" applyBorder="1" applyAlignment="1">
      <alignment horizontal="center"/>
    </xf>
    <xf numFmtId="0" fontId="4" fillId="0" borderId="2" xfId="0" applyFont="1" applyBorder="1" applyAlignment="1" quotePrefix="1">
      <alignment horizontal="center"/>
    </xf>
    <xf numFmtId="2" fontId="4" fillId="0" borderId="0" xfId="0" applyNumberFormat="1" applyFont="1" applyAlignment="1">
      <alignment/>
    </xf>
    <xf numFmtId="3" fontId="4" fillId="0" borderId="0" xfId="0" applyNumberFormat="1" applyFont="1" applyAlignment="1">
      <alignment horizontal="center"/>
    </xf>
    <xf numFmtId="3" fontId="4" fillId="0" borderId="0" xfId="0" applyNumberFormat="1" applyFont="1" applyAlignment="1" quotePrefix="1">
      <alignment horizontal="center"/>
    </xf>
    <xf numFmtId="2" fontId="4" fillId="0" borderId="0" xfId="0" applyNumberFormat="1" applyFont="1" applyAlignment="1">
      <alignment horizontal="center"/>
    </xf>
    <xf numFmtId="0" fontId="4" fillId="0" borderId="0" xfId="0" applyNumberFormat="1" applyFont="1" applyAlignment="1">
      <alignment horizontal="center"/>
    </xf>
    <xf numFmtId="3" fontId="4" fillId="0" borderId="0" xfId="0" applyNumberFormat="1" applyFont="1" applyAlignment="1">
      <alignment/>
    </xf>
    <xf numFmtId="2" fontId="0" fillId="0" borderId="0" xfId="0" applyNumberFormat="1" applyFont="1" applyAlignment="1">
      <alignment/>
    </xf>
    <xf numFmtId="3" fontId="0" fillId="0" borderId="0" xfId="0" applyNumberFormat="1" applyFont="1" applyAlignment="1">
      <alignment/>
    </xf>
    <xf numFmtId="0" fontId="0" fillId="0" borderId="0" xfId="0" applyFont="1" applyAlignment="1" quotePrefix="1">
      <alignment horizontal="left"/>
    </xf>
    <xf numFmtId="3" fontId="4" fillId="0" borderId="1" xfId="0" applyNumberFormat="1" applyFont="1" applyBorder="1" applyAlignment="1" quotePrefix="1">
      <alignment horizontal="center"/>
    </xf>
    <xf numFmtId="2" fontId="4" fillId="0" borderId="2" xfId="0" applyNumberFormat="1" applyFont="1" applyBorder="1" applyAlignment="1">
      <alignment/>
    </xf>
    <xf numFmtId="3" fontId="4" fillId="0" borderId="2" xfId="0" applyNumberFormat="1" applyFont="1" applyBorder="1" applyAlignment="1">
      <alignment horizontal="center"/>
    </xf>
    <xf numFmtId="0" fontId="9" fillId="0" borderId="0" xfId="0" applyFont="1" applyAlignment="1">
      <alignment/>
    </xf>
    <xf numFmtId="0" fontId="1" fillId="0" borderId="0" xfId="0" applyFont="1" applyAlignment="1" quotePrefix="1">
      <alignment horizontal="left"/>
    </xf>
    <xf numFmtId="17" fontId="0" fillId="0" borderId="0" xfId="0" applyNumberFormat="1" applyFont="1" applyAlignment="1" quotePrefix="1">
      <alignment horizontal="left"/>
    </xf>
    <xf numFmtId="0" fontId="0" fillId="0" borderId="0" xfId="0" applyFont="1" applyAlignment="1">
      <alignment horizontal="left"/>
    </xf>
    <xf numFmtId="0" fontId="0" fillId="0" borderId="0" xfId="0" applyFont="1" applyAlignment="1" quotePrefix="1">
      <alignment horizontal="left"/>
    </xf>
    <xf numFmtId="0" fontId="0" fillId="0" borderId="0" xfId="0" applyFont="1" applyAlignment="1">
      <alignment/>
    </xf>
    <xf numFmtId="3" fontId="4" fillId="0" borderId="0" xfId="0" applyNumberFormat="1" applyFont="1" applyAlignment="1">
      <alignment horizontal="right" vertical="center"/>
    </xf>
    <xf numFmtId="3" fontId="0" fillId="0" borderId="0" xfId="0" applyNumberFormat="1" applyFont="1" applyFill="1" applyAlignment="1" quotePrefix="1">
      <alignment horizontal="left"/>
    </xf>
    <xf numFmtId="0" fontId="0" fillId="0" borderId="0" xfId="0" applyFill="1" applyAlignment="1">
      <alignment horizontal="left"/>
    </xf>
    <xf numFmtId="3" fontId="4" fillId="0" borderId="3" xfId="0" applyNumberFormat="1" applyFont="1" applyBorder="1" applyAlignment="1" quotePrefix="1">
      <alignment horizontal="center"/>
    </xf>
    <xf numFmtId="3" fontId="0" fillId="0" borderId="0" xfId="0" applyNumberFormat="1" applyFill="1" applyAlignment="1">
      <alignment horizontal="left"/>
    </xf>
    <xf numFmtId="3" fontId="5" fillId="0" borderId="0" xfId="0" applyNumberFormat="1" applyFont="1" applyFill="1" applyAlignment="1">
      <alignment horizontal="justify" vertical="top" wrapText="1"/>
    </xf>
    <xf numFmtId="0" fontId="0" fillId="0" borderId="0" xfId="0" applyFill="1" applyAlignment="1">
      <alignment horizontal="justify"/>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1"/>
    <pageSetUpPr fitToPage="1"/>
  </sheetPr>
  <dimension ref="A1:O65"/>
  <sheetViews>
    <sheetView tabSelected="1" zoomScale="80" zoomScaleNormal="80" workbookViewId="0" topLeftCell="A1">
      <selection activeCell="B1" sqref="B1"/>
    </sheetView>
  </sheetViews>
  <sheetFormatPr defaultColWidth="11.421875" defaultRowHeight="12.75"/>
  <cols>
    <col min="1" max="1" width="2.57421875" style="1" customWidth="1"/>
    <col min="2" max="2" width="22.421875" style="1" customWidth="1"/>
    <col min="3" max="3" width="12.140625" style="1" bestFit="1" customWidth="1"/>
    <col min="4" max="4" width="8.140625" style="1" customWidth="1"/>
    <col min="5" max="5" width="8.57421875" style="1" customWidth="1"/>
    <col min="6" max="6" width="17.00390625" style="1" bestFit="1" customWidth="1"/>
    <col min="7" max="7" width="16.7109375" style="1" bestFit="1" customWidth="1"/>
    <col min="8" max="8" width="18.00390625" style="1" bestFit="1" customWidth="1"/>
    <col min="9" max="9" width="17.7109375" style="1" bestFit="1" customWidth="1"/>
    <col min="10" max="10" width="15.7109375" style="1" customWidth="1"/>
    <col min="11" max="11" width="16.28125" style="1" customWidth="1"/>
    <col min="12" max="12" width="15.140625" style="1" customWidth="1"/>
    <col min="13" max="13" width="14.28125" style="1" customWidth="1"/>
    <col min="14" max="14" width="14.57421875" style="1" bestFit="1" customWidth="1"/>
    <col min="15" max="16384" width="11.421875" style="1" customWidth="1"/>
  </cols>
  <sheetData>
    <row r="1" spans="1:5" ht="12.75">
      <c r="A1" s="39" t="s">
        <v>0</v>
      </c>
      <c r="B1" s="39"/>
      <c r="C1" s="40"/>
      <c r="D1" s="40"/>
      <c r="E1" s="14"/>
    </row>
    <row r="2" spans="1:4" ht="12.75">
      <c r="A2" s="41" t="s">
        <v>1</v>
      </c>
      <c r="B2" s="41"/>
      <c r="C2" s="40"/>
      <c r="D2" s="40"/>
    </row>
    <row r="3" spans="1:13" ht="12.75">
      <c r="A3" s="11" t="s">
        <v>54</v>
      </c>
      <c r="B3" s="41"/>
      <c r="C3" s="40"/>
      <c r="D3" s="40"/>
      <c r="M3" s="8"/>
    </row>
    <row r="4" spans="1:14" ht="12.75">
      <c r="A4" s="10" t="s">
        <v>2</v>
      </c>
      <c r="B4" s="10"/>
      <c r="C4" s="6" t="s">
        <v>3</v>
      </c>
      <c r="D4" s="79" t="s">
        <v>17</v>
      </c>
      <c r="E4" s="79"/>
      <c r="F4" s="6" t="s">
        <v>4</v>
      </c>
      <c r="G4" s="7" t="s">
        <v>5</v>
      </c>
      <c r="H4" s="7" t="s">
        <v>6</v>
      </c>
      <c r="I4" s="6" t="s">
        <v>29</v>
      </c>
      <c r="J4" s="6" t="s">
        <v>7</v>
      </c>
      <c r="K4" s="6" t="s">
        <v>7</v>
      </c>
      <c r="L4" s="6" t="s">
        <v>7</v>
      </c>
      <c r="M4" s="6" t="s">
        <v>7</v>
      </c>
      <c r="N4" s="14" t="s">
        <v>31</v>
      </c>
    </row>
    <row r="5" spans="1:14" ht="12.75">
      <c r="A5" s="3"/>
      <c r="B5" s="3"/>
      <c r="C5" s="4" t="s">
        <v>8</v>
      </c>
      <c r="D5" s="5" t="s">
        <v>9</v>
      </c>
      <c r="E5" s="5" t="s">
        <v>10</v>
      </c>
      <c r="F5" s="4" t="s">
        <v>11</v>
      </c>
      <c r="G5" s="2" t="s">
        <v>12</v>
      </c>
      <c r="H5" s="5" t="s">
        <v>13</v>
      </c>
      <c r="I5" s="5" t="s">
        <v>14</v>
      </c>
      <c r="J5" s="5" t="s">
        <v>26</v>
      </c>
      <c r="K5" s="5" t="s">
        <v>27</v>
      </c>
      <c r="L5" s="76" t="s">
        <v>28</v>
      </c>
      <c r="M5" s="13" t="s">
        <v>25</v>
      </c>
      <c r="N5" s="14" t="s">
        <v>32</v>
      </c>
    </row>
    <row r="6" spans="1:13" ht="12.75">
      <c r="A6" s="8"/>
      <c r="B6" s="8"/>
      <c r="C6" s="8"/>
      <c r="D6" s="8"/>
      <c r="E6" s="8"/>
      <c r="F6" s="20" t="s">
        <v>15</v>
      </c>
      <c r="G6" s="21" t="s">
        <v>8</v>
      </c>
      <c r="H6" s="20" t="s">
        <v>15</v>
      </c>
      <c r="I6" s="22"/>
      <c r="J6" s="8"/>
      <c r="K6" s="8"/>
      <c r="L6" s="8"/>
      <c r="M6" s="8"/>
    </row>
    <row r="7" spans="1:13" ht="12.75">
      <c r="A7" s="3"/>
      <c r="B7" s="3"/>
      <c r="C7" s="3"/>
      <c r="D7" s="3"/>
      <c r="E7" s="3"/>
      <c r="F7" s="4"/>
      <c r="G7" s="9"/>
      <c r="H7" s="4"/>
      <c r="I7" s="5"/>
      <c r="J7" s="3"/>
      <c r="K7" s="3"/>
      <c r="L7" s="3"/>
      <c r="M7" s="3"/>
    </row>
    <row r="8" spans="1:14" s="16" customFormat="1" ht="12.75">
      <c r="A8" s="80" t="s">
        <v>47</v>
      </c>
      <c r="B8" s="80"/>
      <c r="C8" s="16">
        <v>1633626</v>
      </c>
      <c r="D8" s="18">
        <v>0.52</v>
      </c>
      <c r="E8" s="18">
        <v>0.4</v>
      </c>
      <c r="F8" s="16">
        <v>1879577</v>
      </c>
      <c r="G8" s="16">
        <f aca="true" t="shared" si="0" ref="G8:G25">+J8+K8+L8+M8</f>
        <v>2465953</v>
      </c>
      <c r="H8" s="15">
        <f aca="true" t="shared" si="1" ref="H8:H34">G8-F8</f>
        <v>586376</v>
      </c>
      <c r="I8" s="16">
        <v>3156</v>
      </c>
      <c r="J8" s="16">
        <v>0</v>
      </c>
      <c r="K8" s="16">
        <f>239436+6515</f>
        <v>245951</v>
      </c>
      <c r="L8" s="16">
        <v>0</v>
      </c>
      <c r="M8" s="16">
        <v>2220002</v>
      </c>
      <c r="N8" s="16">
        <f>+F8-C8</f>
        <v>245951</v>
      </c>
    </row>
    <row r="9" spans="1:14" s="16" customFormat="1" ht="12.75">
      <c r="A9" s="80" t="s">
        <v>48</v>
      </c>
      <c r="B9" s="80"/>
      <c r="C9" s="16">
        <v>1633626</v>
      </c>
      <c r="D9" s="18">
        <v>0.38</v>
      </c>
      <c r="E9" s="18">
        <v>0.38</v>
      </c>
      <c r="F9" s="16">
        <v>1633626</v>
      </c>
      <c r="G9" s="16">
        <f t="shared" si="0"/>
        <v>2394762</v>
      </c>
      <c r="H9" s="15">
        <f>G9-F9</f>
        <v>761136</v>
      </c>
      <c r="I9" s="16">
        <v>9401</v>
      </c>
      <c r="J9" s="16">
        <v>0</v>
      </c>
      <c r="K9" s="16">
        <v>0</v>
      </c>
      <c r="L9" s="16">
        <v>0</v>
      </c>
      <c r="M9" s="16">
        <v>2394762</v>
      </c>
      <c r="N9" s="16">
        <f>+F9-C9</f>
        <v>0</v>
      </c>
    </row>
    <row r="10" spans="1:14" s="15" customFormat="1" ht="12.75">
      <c r="A10" s="17" t="s">
        <v>36</v>
      </c>
      <c r="B10" s="17"/>
      <c r="C10" s="16">
        <v>3842924</v>
      </c>
      <c r="D10" s="18">
        <v>2.26</v>
      </c>
      <c r="E10" s="18">
        <v>0.53</v>
      </c>
      <c r="F10" s="16">
        <v>16715945</v>
      </c>
      <c r="G10" s="15">
        <f t="shared" si="0"/>
        <v>19858611</v>
      </c>
      <c r="H10" s="15">
        <f t="shared" si="1"/>
        <v>3142666</v>
      </c>
      <c r="I10" s="16">
        <v>1608776</v>
      </c>
      <c r="J10" s="16">
        <v>0</v>
      </c>
      <c r="K10" s="16">
        <f>2110384+10319924+7412+493688</f>
        <v>12931408</v>
      </c>
      <c r="L10" s="16">
        <v>0</v>
      </c>
      <c r="M10" s="16">
        <v>6927203</v>
      </c>
      <c r="N10" s="16">
        <f aca="true" t="shared" si="2" ref="N10:N34">+F10-C10</f>
        <v>12873021</v>
      </c>
    </row>
    <row r="11" spans="1:14" s="16" customFormat="1" ht="12.75">
      <c r="A11" s="17" t="s">
        <v>33</v>
      </c>
      <c r="B11" s="17"/>
      <c r="C11" s="16">
        <v>7072086</v>
      </c>
      <c r="D11" s="18">
        <v>6.53</v>
      </c>
      <c r="E11" s="18">
        <v>0.15</v>
      </c>
      <c r="F11" s="16">
        <v>107398623</v>
      </c>
      <c r="G11" s="16">
        <f t="shared" si="0"/>
        <v>116351501</v>
      </c>
      <c r="H11" s="15">
        <f>G11-F11</f>
        <v>8952878</v>
      </c>
      <c r="I11" s="16">
        <v>6498</v>
      </c>
      <c r="J11" s="16">
        <v>95502974</v>
      </c>
      <c r="K11" s="16">
        <f>460253+4363310</f>
        <v>4823563</v>
      </c>
      <c r="L11" s="16">
        <v>0</v>
      </c>
      <c r="M11" s="16">
        <v>16024964</v>
      </c>
      <c r="N11" s="16">
        <f t="shared" si="2"/>
        <v>100326537</v>
      </c>
    </row>
    <row r="12" spans="1:14" s="16" customFormat="1" ht="12.75">
      <c r="A12" s="17" t="s">
        <v>49</v>
      </c>
      <c r="B12" s="17"/>
      <c r="C12" s="16">
        <v>84325512</v>
      </c>
      <c r="D12" s="18">
        <v>9.4</v>
      </c>
      <c r="E12" s="18">
        <v>0.46</v>
      </c>
      <c r="F12" s="16">
        <v>1320693035</v>
      </c>
      <c r="G12" s="15">
        <f t="shared" si="0"/>
        <v>1337560796</v>
      </c>
      <c r="H12" s="15">
        <f>G12-F12</f>
        <v>16867761</v>
      </c>
      <c r="I12" s="16">
        <v>36212955</v>
      </c>
      <c r="J12" s="16">
        <v>1194888630</v>
      </c>
      <c r="K12" s="16">
        <f>3278505+29974250+8325762</f>
        <v>41578517</v>
      </c>
      <c r="L12" s="16">
        <v>5087</v>
      </c>
      <c r="M12" s="16">
        <v>101088562</v>
      </c>
      <c r="N12" s="16">
        <f>+F12-C12</f>
        <v>1236367523</v>
      </c>
    </row>
    <row r="13" spans="1:14" s="16" customFormat="1" ht="12.75">
      <c r="A13" s="77" t="s">
        <v>42</v>
      </c>
      <c r="B13" s="78"/>
      <c r="C13" s="16">
        <v>4798234</v>
      </c>
      <c r="D13" s="18">
        <v>5.7</v>
      </c>
      <c r="E13" s="18">
        <v>0.54</v>
      </c>
      <c r="F13" s="16">
        <v>48836218</v>
      </c>
      <c r="G13" s="16">
        <f t="shared" si="0"/>
        <v>53735404</v>
      </c>
      <c r="H13" s="15">
        <f t="shared" si="1"/>
        <v>4899186</v>
      </c>
      <c r="I13" s="16">
        <v>306747</v>
      </c>
      <c r="J13" s="16">
        <v>24362533</v>
      </c>
      <c r="K13" s="16">
        <f>2230780+8346123+565313+8755758</f>
        <v>19897974</v>
      </c>
      <c r="L13" s="16">
        <v>0</v>
      </c>
      <c r="M13" s="16">
        <v>9474897</v>
      </c>
      <c r="N13" s="16">
        <f t="shared" si="2"/>
        <v>44037984</v>
      </c>
    </row>
    <row r="14" spans="1:14" s="15" customFormat="1" ht="12.75">
      <c r="A14" s="17" t="s">
        <v>45</v>
      </c>
      <c r="B14" s="19"/>
      <c r="C14" s="16">
        <v>9905667</v>
      </c>
      <c r="D14" s="18">
        <v>2.94</v>
      </c>
      <c r="E14" s="18">
        <v>0.95</v>
      </c>
      <c r="F14" s="16">
        <v>30473147</v>
      </c>
      <c r="G14" s="15">
        <f t="shared" si="0"/>
        <v>31975926</v>
      </c>
      <c r="H14" s="15">
        <f t="shared" si="1"/>
        <v>1502779</v>
      </c>
      <c r="I14" s="16">
        <v>265008</v>
      </c>
      <c r="J14" s="16">
        <v>0</v>
      </c>
      <c r="K14" s="16">
        <f>2099401+18468079</f>
        <v>20567480</v>
      </c>
      <c r="L14" s="16">
        <v>0</v>
      </c>
      <c r="M14" s="16">
        <v>11408446</v>
      </c>
      <c r="N14" s="15">
        <f t="shared" si="2"/>
        <v>20567480</v>
      </c>
    </row>
    <row r="15" spans="1:14" s="16" customFormat="1" ht="12.75">
      <c r="A15" s="17" t="s">
        <v>19</v>
      </c>
      <c r="B15" s="19"/>
      <c r="C15" s="16">
        <v>41062042</v>
      </c>
      <c r="D15" s="18">
        <v>8.14</v>
      </c>
      <c r="E15" s="18">
        <v>0.27</v>
      </c>
      <c r="F15" s="16">
        <v>657708637</v>
      </c>
      <c r="G15" s="16">
        <f t="shared" si="0"/>
        <v>685016022</v>
      </c>
      <c r="H15" s="15">
        <f t="shared" si="1"/>
        <v>27307385</v>
      </c>
      <c r="I15" s="16">
        <v>3688464</v>
      </c>
      <c r="J15" s="16">
        <v>534249315</v>
      </c>
      <c r="K15" s="16">
        <f>10944646+31652214+5325263+30944010</f>
        <v>78866133</v>
      </c>
      <c r="L15" s="16">
        <v>2419644</v>
      </c>
      <c r="M15" s="16">
        <v>69480930</v>
      </c>
      <c r="N15" s="16">
        <f t="shared" si="2"/>
        <v>616646595</v>
      </c>
    </row>
    <row r="16" spans="1:14" s="25" customFormat="1" ht="12.75">
      <c r="A16" s="17" t="s">
        <v>34</v>
      </c>
      <c r="B16" s="17"/>
      <c r="C16" s="15">
        <v>6909234</v>
      </c>
      <c r="D16" s="24">
        <v>5.08</v>
      </c>
      <c r="E16" s="24">
        <v>0.19</v>
      </c>
      <c r="F16" s="15">
        <v>95073096</v>
      </c>
      <c r="G16" s="15">
        <f t="shared" si="0"/>
        <v>107528766</v>
      </c>
      <c r="H16" s="15">
        <f t="shared" si="1"/>
        <v>12455670</v>
      </c>
      <c r="I16" s="15">
        <v>144437</v>
      </c>
      <c r="J16" s="15">
        <v>84992424</v>
      </c>
      <c r="K16" s="15">
        <f>1488325+795619+1512184</f>
        <v>3796128</v>
      </c>
      <c r="L16" s="15">
        <v>0</v>
      </c>
      <c r="M16" s="15">
        <v>18740214</v>
      </c>
      <c r="N16" s="15">
        <f t="shared" si="2"/>
        <v>88163862</v>
      </c>
    </row>
    <row r="17" spans="1:14" s="25" customFormat="1" ht="12.75">
      <c r="A17" s="17" t="s">
        <v>84</v>
      </c>
      <c r="B17" s="17"/>
      <c r="C17" s="15">
        <v>1633626</v>
      </c>
      <c r="D17" s="24">
        <v>0</v>
      </c>
      <c r="E17" s="24">
        <v>0</v>
      </c>
      <c r="F17" s="15">
        <v>1633626</v>
      </c>
      <c r="G17" s="16">
        <f t="shared" si="0"/>
        <v>1633297</v>
      </c>
      <c r="H17" s="15">
        <f>G17-F17</f>
        <v>-329</v>
      </c>
      <c r="I17" s="15">
        <v>0</v>
      </c>
      <c r="J17" s="15">
        <v>0</v>
      </c>
      <c r="K17" s="15">
        <v>0</v>
      </c>
      <c r="L17" s="15">
        <v>0</v>
      </c>
      <c r="M17" s="15">
        <v>1633297</v>
      </c>
      <c r="N17" s="16">
        <f t="shared" si="2"/>
        <v>0</v>
      </c>
    </row>
    <row r="18" spans="1:14" s="16" customFormat="1" ht="12.75">
      <c r="A18" s="17" t="s">
        <v>40</v>
      </c>
      <c r="B18" s="19"/>
      <c r="C18" s="16">
        <v>18190548</v>
      </c>
      <c r="D18" s="18">
        <v>6.35</v>
      </c>
      <c r="E18" s="18">
        <v>0.29</v>
      </c>
      <c r="F18" s="16">
        <v>295947144</v>
      </c>
      <c r="G18" s="16">
        <f t="shared" si="0"/>
        <v>323485423</v>
      </c>
      <c r="H18" s="15">
        <f t="shared" si="1"/>
        <v>27538279</v>
      </c>
      <c r="I18" s="16">
        <v>1154075</v>
      </c>
      <c r="J18" s="16">
        <v>275773379</v>
      </c>
      <c r="K18" s="16">
        <f>28148+1955069</f>
        <v>1983217</v>
      </c>
      <c r="L18" s="16">
        <v>0</v>
      </c>
      <c r="M18" s="16">
        <v>45728827</v>
      </c>
      <c r="N18" s="16">
        <f>+F18-C18</f>
        <v>277756596</v>
      </c>
    </row>
    <row r="19" spans="1:14" s="16" customFormat="1" ht="12.75">
      <c r="A19" s="17" t="s">
        <v>20</v>
      </c>
      <c r="B19" s="17"/>
      <c r="C19" s="16">
        <v>117168817</v>
      </c>
      <c r="D19" s="18">
        <v>7.42</v>
      </c>
      <c r="E19" s="18">
        <v>0.51</v>
      </c>
      <c r="F19" s="16">
        <v>1757766767</v>
      </c>
      <c r="G19" s="16">
        <f t="shared" si="0"/>
        <v>1832833798</v>
      </c>
      <c r="H19" s="15">
        <f t="shared" si="1"/>
        <v>75067031</v>
      </c>
      <c r="I19" s="16">
        <v>52964143</v>
      </c>
      <c r="J19" s="16">
        <v>1511872403</v>
      </c>
      <c r="K19" s="16">
        <f>1941564+44593725+19936757+51640233</f>
        <v>118112279</v>
      </c>
      <c r="L19" s="16">
        <v>418123</v>
      </c>
      <c r="M19" s="16">
        <v>202430993</v>
      </c>
      <c r="N19" s="16">
        <f t="shared" si="2"/>
        <v>1640597950</v>
      </c>
    </row>
    <row r="20" spans="1:14" s="16" customFormat="1" ht="12.75">
      <c r="A20" s="17" t="s">
        <v>21</v>
      </c>
      <c r="B20" s="17"/>
      <c r="C20" s="16">
        <v>21099707</v>
      </c>
      <c r="D20" s="18">
        <v>6.95</v>
      </c>
      <c r="E20" s="18">
        <v>0.12</v>
      </c>
      <c r="F20" s="16">
        <v>302499009</v>
      </c>
      <c r="G20" s="16">
        <f t="shared" si="0"/>
        <v>319503255</v>
      </c>
      <c r="H20" s="15">
        <f t="shared" si="1"/>
        <v>17004246</v>
      </c>
      <c r="I20" s="16">
        <v>3671974</v>
      </c>
      <c r="J20" s="16">
        <v>249018336</v>
      </c>
      <c r="K20" s="16">
        <f>2485883+11617730+4532321+14461128</f>
        <v>33097062</v>
      </c>
      <c r="L20" s="16">
        <v>370983</v>
      </c>
      <c r="M20" s="16">
        <v>37016874</v>
      </c>
      <c r="N20" s="16">
        <f t="shared" si="2"/>
        <v>281399302</v>
      </c>
    </row>
    <row r="21" spans="1:14" s="16" customFormat="1" ht="12.75">
      <c r="A21" s="17" t="s">
        <v>41</v>
      </c>
      <c r="B21" s="17"/>
      <c r="C21" s="16">
        <v>24023524</v>
      </c>
      <c r="D21" s="18">
        <v>11.72</v>
      </c>
      <c r="E21" s="18">
        <v>0.33</v>
      </c>
      <c r="F21" s="16">
        <v>402517975</v>
      </c>
      <c r="G21" s="16">
        <f t="shared" si="0"/>
        <v>406794294</v>
      </c>
      <c r="H21" s="15">
        <f t="shared" si="1"/>
        <v>4276319</v>
      </c>
      <c r="I21" s="16">
        <v>2839809</v>
      </c>
      <c r="J21" s="16">
        <v>312197135</v>
      </c>
      <c r="K21" s="16">
        <f>2357814+14797121+21703191+27941170</f>
        <v>66799296</v>
      </c>
      <c r="L21" s="16">
        <v>650408</v>
      </c>
      <c r="M21" s="16">
        <v>27147455</v>
      </c>
      <c r="N21" s="16">
        <f t="shared" si="2"/>
        <v>378494451</v>
      </c>
    </row>
    <row r="22" spans="1:14" s="16" customFormat="1" ht="12.75">
      <c r="A22" s="17" t="s">
        <v>35</v>
      </c>
      <c r="B22" s="17"/>
      <c r="C22" s="16">
        <v>1633626</v>
      </c>
      <c r="D22" s="18">
        <v>0.91</v>
      </c>
      <c r="E22" s="18">
        <v>0.07</v>
      </c>
      <c r="F22" s="16">
        <v>3935799</v>
      </c>
      <c r="G22" s="16">
        <f t="shared" si="0"/>
        <v>4801665</v>
      </c>
      <c r="H22" s="15">
        <f t="shared" si="1"/>
        <v>865866</v>
      </c>
      <c r="I22" s="16">
        <v>304298</v>
      </c>
      <c r="J22" s="16">
        <v>0</v>
      </c>
      <c r="K22" s="16">
        <f>331840+1970333</f>
        <v>2302173</v>
      </c>
      <c r="L22" s="16">
        <v>0</v>
      </c>
      <c r="M22" s="16">
        <v>2499492</v>
      </c>
      <c r="N22" s="16">
        <f t="shared" si="2"/>
        <v>2302173</v>
      </c>
    </row>
    <row r="23" spans="1:14" s="26" customFormat="1" ht="12.75">
      <c r="A23" s="17" t="s">
        <v>43</v>
      </c>
      <c r="B23" s="17"/>
      <c r="C23" s="16">
        <v>99227430</v>
      </c>
      <c r="D23" s="18">
        <v>10.01</v>
      </c>
      <c r="E23" s="18">
        <v>0.39</v>
      </c>
      <c r="F23" s="16">
        <v>1540478350</v>
      </c>
      <c r="G23" s="15">
        <f t="shared" si="0"/>
        <v>1547408544</v>
      </c>
      <c r="H23" s="15">
        <f t="shared" si="1"/>
        <v>6930194</v>
      </c>
      <c r="I23" s="16">
        <v>25195532</v>
      </c>
      <c r="J23" s="16">
        <v>1317124456</v>
      </c>
      <c r="K23" s="16">
        <f>5435491+56021865+11712393+36706920</f>
        <v>109876669</v>
      </c>
      <c r="L23" s="16">
        <v>298235</v>
      </c>
      <c r="M23" s="16">
        <v>120109184</v>
      </c>
      <c r="N23" s="16">
        <f t="shared" si="2"/>
        <v>1441250920</v>
      </c>
    </row>
    <row r="24" spans="1:14" s="26" customFormat="1" ht="12.75">
      <c r="A24" s="17" t="s">
        <v>22</v>
      </c>
      <c r="B24" s="17"/>
      <c r="C24" s="16">
        <v>13241207</v>
      </c>
      <c r="D24" s="18">
        <v>3.17</v>
      </c>
      <c r="E24" s="18">
        <v>0.4</v>
      </c>
      <c r="F24" s="16">
        <v>142310584</v>
      </c>
      <c r="G24" s="15">
        <f t="shared" si="0"/>
        <v>157151926</v>
      </c>
      <c r="H24" s="15">
        <f>G24-F24</f>
        <v>14841342</v>
      </c>
      <c r="I24" s="16">
        <v>9421213</v>
      </c>
      <c r="J24" s="16">
        <v>32183161</v>
      </c>
      <c r="K24" s="16">
        <f>5219602+49437764+1030220+42094848</f>
        <v>97782434</v>
      </c>
      <c r="L24" s="16">
        <v>774</v>
      </c>
      <c r="M24" s="16">
        <v>27185557</v>
      </c>
      <c r="N24" s="16">
        <f>+F24-C24</f>
        <v>129069377</v>
      </c>
    </row>
    <row r="25" spans="1:14" s="16" customFormat="1" ht="12.75">
      <c r="A25" s="17" t="s">
        <v>52</v>
      </c>
      <c r="B25" s="19"/>
      <c r="C25" s="16">
        <v>30798400</v>
      </c>
      <c r="D25" s="18">
        <v>10.52</v>
      </c>
      <c r="E25" s="18">
        <v>0.99</v>
      </c>
      <c r="F25" s="16">
        <v>518765732</v>
      </c>
      <c r="G25" s="16">
        <f t="shared" si="0"/>
        <v>536366700</v>
      </c>
      <c r="H25" s="15">
        <f>G25-F25</f>
        <v>17600968</v>
      </c>
      <c r="I25" s="16">
        <v>112331</v>
      </c>
      <c r="J25" s="16">
        <v>450168796</v>
      </c>
      <c r="K25" s="16">
        <v>37798536</v>
      </c>
      <c r="L25" s="16">
        <v>0</v>
      </c>
      <c r="M25" s="16">
        <v>48399368</v>
      </c>
      <c r="N25" s="16">
        <f>+F25-C25</f>
        <v>487967332</v>
      </c>
    </row>
    <row r="26" spans="1:14" s="15" customFormat="1" ht="12.75">
      <c r="A26" s="17" t="s">
        <v>50</v>
      </c>
      <c r="B26" s="17"/>
      <c r="C26" s="16">
        <v>1633626</v>
      </c>
      <c r="D26" s="18">
        <v>6.24</v>
      </c>
      <c r="E26" s="18">
        <v>0.2</v>
      </c>
      <c r="F26" s="16">
        <v>22338546</v>
      </c>
      <c r="G26" s="15">
        <f aca="true" t="shared" si="3" ref="G26:G33">+J26+K26+L26+M26</f>
        <v>23761500</v>
      </c>
      <c r="H26" s="15">
        <f aca="true" t="shared" si="4" ref="H26:H33">G26-F26</f>
        <v>1422954</v>
      </c>
      <c r="I26" s="16">
        <v>46414</v>
      </c>
      <c r="J26" s="16">
        <v>19568215</v>
      </c>
      <c r="K26" s="16">
        <f>70684+784898+366451</f>
        <v>1222033</v>
      </c>
      <c r="L26" s="16">
        <v>0</v>
      </c>
      <c r="M26" s="16">
        <v>2971252</v>
      </c>
      <c r="N26" s="15">
        <f t="shared" si="2"/>
        <v>20704920</v>
      </c>
    </row>
    <row r="27" spans="1:14" s="15" customFormat="1" ht="12.75">
      <c r="A27" s="17" t="s">
        <v>37</v>
      </c>
      <c r="B27" s="17"/>
      <c r="C27" s="16">
        <v>76672274</v>
      </c>
      <c r="D27" s="18">
        <v>9.72</v>
      </c>
      <c r="E27" s="18">
        <v>0.32</v>
      </c>
      <c r="F27" s="16">
        <v>1184168744</v>
      </c>
      <c r="G27" s="15">
        <f t="shared" si="3"/>
        <v>1192451623</v>
      </c>
      <c r="H27" s="15">
        <f t="shared" si="4"/>
        <v>8282879</v>
      </c>
      <c r="I27" s="16">
        <v>6436131</v>
      </c>
      <c r="J27" s="16">
        <v>1048616164</v>
      </c>
      <c r="K27" s="16">
        <f>10470626+22105634+1596655+24843143</f>
        <v>59016058</v>
      </c>
      <c r="L27" s="16">
        <v>65</v>
      </c>
      <c r="M27" s="16">
        <v>84819336</v>
      </c>
      <c r="N27" s="15">
        <f t="shared" si="2"/>
        <v>1107496470</v>
      </c>
    </row>
    <row r="28" spans="1:14" s="16" customFormat="1" ht="12.75">
      <c r="A28" s="17" t="s">
        <v>30</v>
      </c>
      <c r="B28" s="17"/>
      <c r="C28" s="16">
        <v>19850066</v>
      </c>
      <c r="D28" s="18">
        <v>12.22</v>
      </c>
      <c r="E28" s="18">
        <v>0.07</v>
      </c>
      <c r="F28" s="16">
        <v>330803338</v>
      </c>
      <c r="G28" s="16">
        <f t="shared" si="3"/>
        <v>333109366</v>
      </c>
      <c r="H28" s="15">
        <f t="shared" si="4"/>
        <v>2306028</v>
      </c>
      <c r="I28" s="16">
        <v>260289</v>
      </c>
      <c r="J28" s="16">
        <v>306942846</v>
      </c>
      <c r="K28" s="16">
        <f>522448+3469893+18085</f>
        <v>4010426</v>
      </c>
      <c r="L28" s="16">
        <v>0</v>
      </c>
      <c r="M28" s="16">
        <v>22156094</v>
      </c>
      <c r="N28" s="16">
        <f>+F28-C28</f>
        <v>310953272</v>
      </c>
    </row>
    <row r="29" spans="1:14" s="15" customFormat="1" ht="12.75">
      <c r="A29" s="17" t="s">
        <v>46</v>
      </c>
      <c r="B29" s="19"/>
      <c r="C29" s="16">
        <v>36132977</v>
      </c>
      <c r="D29" s="18">
        <v>9.27</v>
      </c>
      <c r="E29" s="18">
        <v>0.17</v>
      </c>
      <c r="F29" s="16">
        <v>597412623</v>
      </c>
      <c r="G29" s="15">
        <f>+J29+K29+L29+M29</f>
        <v>599566450</v>
      </c>
      <c r="H29" s="15">
        <f>G29-F29</f>
        <v>2153827</v>
      </c>
      <c r="I29" s="16">
        <v>10063214</v>
      </c>
      <c r="J29" s="16">
        <f>544895971+0</f>
        <v>544895971</v>
      </c>
      <c r="K29" s="16">
        <f>577036+2028591+15480474+0</f>
        <v>18086101</v>
      </c>
      <c r="L29" s="16">
        <v>290290</v>
      </c>
      <c r="M29" s="16">
        <v>36294088</v>
      </c>
      <c r="N29" s="15">
        <f t="shared" si="2"/>
        <v>561279646</v>
      </c>
    </row>
    <row r="30" spans="1:14" s="15" customFormat="1" ht="12.75">
      <c r="A30" s="17" t="s">
        <v>44</v>
      </c>
      <c r="B30" s="19"/>
      <c r="C30" s="16">
        <v>69013272</v>
      </c>
      <c r="D30" s="18">
        <v>15.03</v>
      </c>
      <c r="E30" s="18">
        <v>0.49</v>
      </c>
      <c r="F30" s="16">
        <v>1137246588</v>
      </c>
      <c r="G30" s="15">
        <f t="shared" si="3"/>
        <v>1139015073</v>
      </c>
      <c r="H30" s="15">
        <f t="shared" si="4"/>
        <v>1768485</v>
      </c>
      <c r="I30" s="16">
        <v>6822941</v>
      </c>
      <c r="J30" s="16">
        <v>1056694703</v>
      </c>
      <c r="K30" s="16">
        <f>989289+5873805+2422239+2757903</f>
        <v>12043236</v>
      </c>
      <c r="L30" s="16">
        <v>0</v>
      </c>
      <c r="M30" s="16">
        <v>70277134</v>
      </c>
      <c r="N30" s="15">
        <f>+F30-C30</f>
        <v>1068233316</v>
      </c>
    </row>
    <row r="31" spans="1:14" s="16" customFormat="1" ht="12.75">
      <c r="A31" s="17" t="s">
        <v>23</v>
      </c>
      <c r="B31" s="17"/>
      <c r="C31" s="16">
        <v>16250647</v>
      </c>
      <c r="D31" s="18">
        <v>8.44</v>
      </c>
      <c r="E31" s="18">
        <v>0.2</v>
      </c>
      <c r="F31" s="16">
        <v>270112306</v>
      </c>
      <c r="G31" s="16">
        <f>+J31+K31+L31+M31</f>
        <v>271525070</v>
      </c>
      <c r="H31" s="15">
        <f>G31-F31</f>
        <v>1412764</v>
      </c>
      <c r="I31" s="16">
        <v>13726541</v>
      </c>
      <c r="J31" s="16">
        <v>252815022</v>
      </c>
      <c r="K31" s="16">
        <f>656268+172752+262274</f>
        <v>1091294</v>
      </c>
      <c r="L31" s="16">
        <v>1543</v>
      </c>
      <c r="M31" s="16">
        <v>17617211</v>
      </c>
      <c r="N31" s="16">
        <f>+F31-C31</f>
        <v>253861659</v>
      </c>
    </row>
    <row r="32" spans="1:14" s="15" customFormat="1" ht="12.75">
      <c r="A32" s="17" t="s">
        <v>83</v>
      </c>
      <c r="B32" s="17"/>
      <c r="C32" s="16">
        <v>13630113</v>
      </c>
      <c r="D32" s="18">
        <v>0.86</v>
      </c>
      <c r="E32" s="18">
        <v>0.27</v>
      </c>
      <c r="F32" s="16">
        <v>43764832</v>
      </c>
      <c r="G32" s="15">
        <f>+J32+K32+L32+M32</f>
        <v>52218126</v>
      </c>
      <c r="H32" s="15">
        <f>G32-F32</f>
        <v>8453294</v>
      </c>
      <c r="I32" s="16">
        <v>22342740</v>
      </c>
      <c r="J32" s="16">
        <v>0</v>
      </c>
      <c r="K32" s="16">
        <f>4884389+23903642+1545671</f>
        <v>30333702</v>
      </c>
      <c r="L32" s="16">
        <v>50433</v>
      </c>
      <c r="M32" s="16">
        <v>21833991</v>
      </c>
      <c r="N32" s="16">
        <f>+F32-C32</f>
        <v>30134719</v>
      </c>
    </row>
    <row r="33" spans="1:14" s="15" customFormat="1" ht="12.75">
      <c r="A33" s="17" t="s">
        <v>51</v>
      </c>
      <c r="B33" s="17"/>
      <c r="C33" s="16">
        <v>6789560</v>
      </c>
      <c r="D33" s="18">
        <v>6.65</v>
      </c>
      <c r="E33" s="18">
        <v>0.64</v>
      </c>
      <c r="F33" s="16">
        <v>67044414</v>
      </c>
      <c r="G33" s="16">
        <f t="shared" si="3"/>
        <v>67651535</v>
      </c>
      <c r="H33" s="15">
        <f t="shared" si="4"/>
        <v>607121</v>
      </c>
      <c r="I33" s="16">
        <v>979609</v>
      </c>
      <c r="J33" s="16">
        <v>36937299</v>
      </c>
      <c r="K33" s="16">
        <f>1912824+4269529+10619113+6468421</f>
        <v>23269887</v>
      </c>
      <c r="L33" s="16">
        <v>269292</v>
      </c>
      <c r="M33" s="16">
        <v>7175057</v>
      </c>
      <c r="N33" s="16">
        <f>+F33-C33</f>
        <v>60254854</v>
      </c>
    </row>
    <row r="34" spans="1:14" s="16" customFormat="1" ht="12.75">
      <c r="A34" s="17" t="s">
        <v>24</v>
      </c>
      <c r="B34" s="17"/>
      <c r="C34" s="16">
        <v>56967741</v>
      </c>
      <c r="D34" s="18">
        <v>9.76</v>
      </c>
      <c r="E34" s="18">
        <v>0.14</v>
      </c>
      <c r="F34" s="16">
        <v>890948373</v>
      </c>
      <c r="G34" s="15">
        <f>+J34+K34+L34+M34</f>
        <v>903561726</v>
      </c>
      <c r="H34" s="15">
        <f t="shared" si="1"/>
        <v>12613353</v>
      </c>
      <c r="I34" s="16">
        <v>7574289</v>
      </c>
      <c r="J34" s="16">
        <v>810557706</v>
      </c>
      <c r="K34" s="16">
        <f>760423+8781876+6627339+7939773</f>
        <v>24109411</v>
      </c>
      <c r="L34" s="16">
        <v>0</v>
      </c>
      <c r="M34" s="16">
        <v>68894609</v>
      </c>
      <c r="N34" s="16">
        <f t="shared" si="2"/>
        <v>833980632</v>
      </c>
    </row>
    <row r="35" spans="1:14" s="16" customFormat="1" ht="12.75">
      <c r="A35" s="27" t="s">
        <v>16</v>
      </c>
      <c r="B35" s="27"/>
      <c r="C35" s="28">
        <f>SUM(C8:C34)</f>
        <v>785140112</v>
      </c>
      <c r="D35" s="29"/>
      <c r="E35" s="29"/>
      <c r="F35" s="28">
        <f aca="true" t="shared" si="5" ref="F35:M35">SUM(F8:F34)</f>
        <v>11790106654</v>
      </c>
      <c r="G35" s="28">
        <f t="shared" si="5"/>
        <v>12069727112</v>
      </c>
      <c r="H35" s="28">
        <f t="shared" si="5"/>
        <v>279620458</v>
      </c>
      <c r="I35" s="28">
        <f t="shared" si="5"/>
        <v>206160985</v>
      </c>
      <c r="J35" s="28">
        <f t="shared" si="5"/>
        <v>10159361468</v>
      </c>
      <c r="K35" s="28">
        <f t="shared" si="5"/>
        <v>823640968</v>
      </c>
      <c r="L35" s="28">
        <f t="shared" si="5"/>
        <v>4774877</v>
      </c>
      <c r="M35" s="28">
        <f t="shared" si="5"/>
        <v>1081949799</v>
      </c>
      <c r="N35" s="16">
        <f>SUM(N8:N34)</f>
        <v>11004966542</v>
      </c>
    </row>
    <row r="36" spans="1:13" s="16" customFormat="1" ht="12.75">
      <c r="A36" s="30"/>
      <c r="B36" s="30"/>
      <c r="D36" s="18"/>
      <c r="E36" s="18"/>
      <c r="M36" s="23"/>
    </row>
    <row r="37" spans="1:14" s="15" customFormat="1" ht="12.75">
      <c r="A37" s="17" t="s">
        <v>18</v>
      </c>
      <c r="B37" s="17"/>
      <c r="C37" s="16">
        <v>2656526</v>
      </c>
      <c r="D37" s="18">
        <v>2.29</v>
      </c>
      <c r="E37" s="18">
        <v>0.04</v>
      </c>
      <c r="F37" s="16">
        <v>44449202</v>
      </c>
      <c r="G37" s="16">
        <f>+J37+K37+L37+M37</f>
        <v>52100300</v>
      </c>
      <c r="H37" s="15">
        <f>G37-F37</f>
        <v>7651098</v>
      </c>
      <c r="I37" s="16">
        <v>8545711</v>
      </c>
      <c r="J37" s="16">
        <v>41721284</v>
      </c>
      <c r="K37" s="16">
        <f>55495+15897</f>
        <v>71392</v>
      </c>
      <c r="L37" s="16">
        <v>0</v>
      </c>
      <c r="M37" s="16">
        <v>10307624</v>
      </c>
      <c r="N37" s="32">
        <f>+F37-C37</f>
        <v>41792676</v>
      </c>
    </row>
    <row r="38" spans="1:15" s="16" customFormat="1" ht="12.75">
      <c r="A38" s="31" t="s">
        <v>38</v>
      </c>
      <c r="B38" s="31"/>
      <c r="C38" s="28">
        <f aca="true" t="shared" si="6" ref="C38:H38">SUM(C37:C37)</f>
        <v>2656526</v>
      </c>
      <c r="D38" s="29"/>
      <c r="E38" s="29"/>
      <c r="F38" s="28">
        <f t="shared" si="6"/>
        <v>44449202</v>
      </c>
      <c r="G38" s="28">
        <f t="shared" si="6"/>
        <v>52100300</v>
      </c>
      <c r="H38" s="28">
        <f t="shared" si="6"/>
        <v>7651098</v>
      </c>
      <c r="I38" s="28">
        <f aca="true" t="shared" si="7" ref="I38:N38">SUM(I37:I37)</f>
        <v>8545711</v>
      </c>
      <c r="J38" s="28">
        <f t="shared" si="7"/>
        <v>41721284</v>
      </c>
      <c r="K38" s="28">
        <f t="shared" si="7"/>
        <v>71392</v>
      </c>
      <c r="L38" s="28">
        <f t="shared" si="7"/>
        <v>0</v>
      </c>
      <c r="M38" s="28">
        <f t="shared" si="7"/>
        <v>10307624</v>
      </c>
      <c r="N38" s="32">
        <f t="shared" si="7"/>
        <v>41792676</v>
      </c>
      <c r="O38" s="32"/>
    </row>
    <row r="39" spans="4:14" s="16" customFormat="1" ht="12.75">
      <c r="D39" s="18"/>
      <c r="E39" s="18"/>
      <c r="I39" s="15"/>
      <c r="J39" s="15"/>
      <c r="K39" s="15"/>
      <c r="M39" s="23"/>
      <c r="N39" s="32"/>
    </row>
    <row r="40" spans="1:14" s="16" customFormat="1" ht="12.75">
      <c r="A40" s="33" t="s">
        <v>9</v>
      </c>
      <c r="B40" s="33"/>
      <c r="C40" s="34">
        <f>C35+C38</f>
        <v>787796638</v>
      </c>
      <c r="D40" s="35"/>
      <c r="E40" s="35"/>
      <c r="F40" s="34">
        <f aca="true" t="shared" si="8" ref="F40:M40">F35+F38</f>
        <v>11834555856</v>
      </c>
      <c r="G40" s="34">
        <f t="shared" si="8"/>
        <v>12121827412</v>
      </c>
      <c r="H40" s="34">
        <f t="shared" si="8"/>
        <v>287271556</v>
      </c>
      <c r="I40" s="34">
        <f t="shared" si="8"/>
        <v>214706696</v>
      </c>
      <c r="J40" s="36">
        <f t="shared" si="8"/>
        <v>10201082752</v>
      </c>
      <c r="K40" s="36">
        <f t="shared" si="8"/>
        <v>823712360</v>
      </c>
      <c r="L40" s="34">
        <f t="shared" si="8"/>
        <v>4774877</v>
      </c>
      <c r="M40" s="34">
        <f t="shared" si="8"/>
        <v>1092257423</v>
      </c>
      <c r="N40" s="16">
        <f>+N35+N38</f>
        <v>11046759218</v>
      </c>
    </row>
    <row r="41" s="16" customFormat="1" ht="9.75" customHeight="1">
      <c r="A41" s="37"/>
    </row>
    <row r="42" spans="1:13" s="16" customFormat="1" ht="22.5" customHeight="1">
      <c r="A42" s="37" t="s">
        <v>79</v>
      </c>
      <c r="B42" s="81" t="s">
        <v>87</v>
      </c>
      <c r="C42" s="81"/>
      <c r="D42" s="81"/>
      <c r="E42" s="81"/>
      <c r="F42" s="81"/>
      <c r="G42" s="81"/>
      <c r="H42" s="81"/>
      <c r="I42" s="81"/>
      <c r="J42" s="81"/>
      <c r="K42" s="81"/>
      <c r="L42" s="81"/>
      <c r="M42" s="82"/>
    </row>
    <row r="43" spans="1:13" s="16" customFormat="1" ht="15" customHeight="1">
      <c r="A43" s="37" t="s">
        <v>85</v>
      </c>
      <c r="B43" s="81" t="s">
        <v>86</v>
      </c>
      <c r="C43" s="81"/>
      <c r="D43" s="81"/>
      <c r="E43" s="81"/>
      <c r="F43" s="81"/>
      <c r="G43" s="81"/>
      <c r="H43" s="81"/>
      <c r="I43" s="81"/>
      <c r="J43" s="81"/>
      <c r="K43" s="81"/>
      <c r="L43" s="81"/>
      <c r="M43" s="82"/>
    </row>
    <row r="44" s="16" customFormat="1" ht="12.75" customHeight="1">
      <c r="A44" s="38"/>
    </row>
    <row r="45" s="16" customFormat="1" ht="12.75">
      <c r="A45" s="38"/>
    </row>
    <row r="46" s="16" customFormat="1" ht="12.75">
      <c r="A46" s="38"/>
    </row>
    <row r="47" spans="1:5" s="16" customFormat="1" ht="12.75">
      <c r="A47" s="23"/>
      <c r="D47" s="18"/>
      <c r="E47" s="18"/>
    </row>
    <row r="48" spans="1:5" s="16" customFormat="1" ht="12.75">
      <c r="A48" s="23"/>
      <c r="D48" s="18"/>
      <c r="E48" s="18"/>
    </row>
    <row r="49" spans="1:5" s="16" customFormat="1" ht="12.75">
      <c r="A49" s="23"/>
      <c r="D49" s="18"/>
      <c r="E49" s="18"/>
    </row>
    <row r="50" spans="1:6" s="16" customFormat="1" ht="12.75">
      <c r="A50" s="23"/>
      <c r="D50" s="18"/>
      <c r="E50" s="18"/>
      <c r="F50" s="16" t="s">
        <v>39</v>
      </c>
    </row>
    <row r="51" spans="4:5" s="16" customFormat="1" ht="12.75">
      <c r="D51" s="18"/>
      <c r="E51" s="18"/>
    </row>
    <row r="52" spans="2:5" s="16" customFormat="1" ht="12.75">
      <c r="B52" s="19"/>
      <c r="C52" s="19"/>
      <c r="D52" s="18"/>
      <c r="E52" s="18"/>
    </row>
    <row r="53" spans="4:5" s="16" customFormat="1" ht="12.75">
      <c r="D53" s="18"/>
      <c r="E53" s="18"/>
    </row>
    <row r="54" spans="4:5" s="16" customFormat="1" ht="12.75">
      <c r="D54" s="18"/>
      <c r="E54" s="18"/>
    </row>
    <row r="55" spans="4:5" s="16" customFormat="1" ht="12.75">
      <c r="D55" s="18"/>
      <c r="E55" s="18"/>
    </row>
    <row r="56" spans="4:5" s="16" customFormat="1" ht="12.75">
      <c r="D56" s="18"/>
      <c r="E56" s="18"/>
    </row>
    <row r="57" spans="4:5" s="16" customFormat="1" ht="12.75">
      <c r="D57" s="18"/>
      <c r="E57" s="18"/>
    </row>
    <row r="58" spans="4:5" s="16" customFormat="1" ht="12.75">
      <c r="D58" s="18"/>
      <c r="E58" s="18"/>
    </row>
    <row r="59" spans="4:5" s="16" customFormat="1" ht="12.75">
      <c r="D59" s="18"/>
      <c r="E59" s="18"/>
    </row>
    <row r="60" spans="4:5" s="16" customFormat="1" ht="12.75">
      <c r="D60" s="18"/>
      <c r="E60" s="18"/>
    </row>
    <row r="61" spans="4:5" s="16" customFormat="1" ht="12.75">
      <c r="D61" s="18"/>
      <c r="E61" s="18"/>
    </row>
    <row r="62" spans="4:5" s="16" customFormat="1" ht="12.75">
      <c r="D62" s="18"/>
      <c r="E62" s="18"/>
    </row>
    <row r="63" spans="4:5" s="16" customFormat="1" ht="12.75">
      <c r="D63" s="18"/>
      <c r="E63" s="18"/>
    </row>
    <row r="64" spans="4:5" s="16" customFormat="1" ht="12.75">
      <c r="D64" s="18"/>
      <c r="E64" s="18"/>
    </row>
    <row r="65" spans="4:5" s="16" customFormat="1" ht="12.75">
      <c r="D65" s="18"/>
      <c r="E65" s="18"/>
    </row>
    <row r="66" s="16" customFormat="1" ht="12.75"/>
    <row r="67" s="16" customFormat="1" ht="12.75"/>
    <row r="68" s="16" customFormat="1" ht="12.75"/>
    <row r="69" s="16" customFormat="1" ht="12.75"/>
    <row r="70" s="16" customFormat="1" ht="12.75"/>
    <row r="71" s="16" customFormat="1" ht="12.75"/>
    <row r="72" s="16" customFormat="1" ht="12.75"/>
    <row r="73" s="16" customFormat="1" ht="12.75"/>
    <row r="74" s="16" customFormat="1" ht="12.75"/>
    <row r="75" s="16" customFormat="1" ht="12.75"/>
    <row r="76" s="16" customFormat="1" ht="12.75"/>
    <row r="77" s="16" customFormat="1" ht="12.75"/>
    <row r="78" s="16" customFormat="1" ht="12.75"/>
    <row r="79" s="16" customFormat="1" ht="12.75"/>
    <row r="80" s="16" customFormat="1" ht="12.75"/>
    <row r="81" s="16" customFormat="1" ht="12.75"/>
    <row r="82" s="16" customFormat="1" ht="12.75"/>
    <row r="83" s="16" customFormat="1" ht="12.75"/>
    <row r="84" s="16" customFormat="1" ht="12.75"/>
    <row r="85" s="16" customFormat="1" ht="12.75"/>
    <row r="86" s="16" customFormat="1" ht="12.75"/>
    <row r="87" s="16" customFormat="1" ht="12.75"/>
    <row r="88" s="16" customFormat="1" ht="12.75"/>
    <row r="89" s="16" customFormat="1" ht="12.75"/>
    <row r="90" s="16" customFormat="1" ht="12.75"/>
    <row r="91" s="16" customFormat="1" ht="12.75"/>
    <row r="92" s="16" customFormat="1" ht="12.75"/>
    <row r="93" s="16" customFormat="1" ht="12.75"/>
    <row r="94" s="16" customFormat="1" ht="12.75"/>
    <row r="95" s="16" customFormat="1" ht="12.75"/>
    <row r="96" s="16" customFormat="1" ht="12.75"/>
    <row r="97" s="16" customFormat="1" ht="12.75"/>
    <row r="98" s="16" customFormat="1" ht="12.75"/>
    <row r="99" s="16" customFormat="1" ht="12.75"/>
    <row r="100" s="16" customFormat="1" ht="12.75"/>
    <row r="101" s="16" customFormat="1" ht="12.75"/>
    <row r="102" s="16" customFormat="1" ht="12.75"/>
    <row r="103" s="16" customFormat="1" ht="12.75"/>
    <row r="104" s="16" customFormat="1" ht="12.75"/>
    <row r="105" s="16" customFormat="1" ht="12.75"/>
    <row r="106" s="16" customFormat="1" ht="12.75"/>
    <row r="107" s="16" customFormat="1" ht="12.75"/>
    <row r="108" s="16" customFormat="1" ht="12.75"/>
    <row r="109" s="16" customFormat="1" ht="12.75"/>
    <row r="110" s="16" customFormat="1" ht="12.75"/>
    <row r="111" s="16" customFormat="1" ht="12.75"/>
    <row r="112" s="16" customFormat="1" ht="12.75"/>
    <row r="113" s="16" customFormat="1" ht="12.75"/>
    <row r="114" s="16" customFormat="1" ht="12.75"/>
    <row r="115" s="16" customFormat="1" ht="12.75"/>
    <row r="116" s="16" customFormat="1" ht="12.75"/>
    <row r="117" s="16" customFormat="1" ht="12.75"/>
    <row r="118" s="16" customFormat="1" ht="12.75"/>
    <row r="119" s="16" customFormat="1" ht="12.75"/>
    <row r="120" s="16" customFormat="1" ht="12.75"/>
    <row r="121" s="16" customFormat="1" ht="12.75"/>
    <row r="122" s="16" customFormat="1" ht="12.75"/>
    <row r="123" s="16" customFormat="1" ht="12.75"/>
    <row r="124" s="16" customFormat="1" ht="12.75"/>
    <row r="125" s="16" customFormat="1" ht="12.75"/>
    <row r="126" s="16" customFormat="1" ht="12.75"/>
    <row r="127" s="16" customFormat="1" ht="12.75"/>
    <row r="128" s="16" customFormat="1" ht="12.75"/>
    <row r="129" s="16" customFormat="1" ht="12.75"/>
    <row r="130" s="16" customFormat="1" ht="12.75"/>
    <row r="131" s="16" customFormat="1" ht="12.75"/>
    <row r="132" s="16" customFormat="1" ht="12.75"/>
    <row r="133" s="16" customFormat="1" ht="12.75"/>
    <row r="134" s="16" customFormat="1" ht="12.75"/>
    <row r="135" s="16" customFormat="1" ht="12.75"/>
    <row r="136" s="16" customFormat="1" ht="12.75"/>
    <row r="137" s="16" customFormat="1" ht="12.75"/>
    <row r="138" s="16" customFormat="1" ht="12.75"/>
    <row r="139" s="16" customFormat="1" ht="12.75"/>
    <row r="140" s="16" customFormat="1" ht="12.75"/>
    <row r="141" s="16" customFormat="1" ht="12.75"/>
    <row r="142" s="16" customFormat="1" ht="12.75"/>
    <row r="143" s="16" customFormat="1" ht="12.75"/>
    <row r="144" s="16" customFormat="1" ht="12.75"/>
    <row r="145" s="16" customFormat="1" ht="12.75"/>
    <row r="146" s="16" customFormat="1" ht="12.75"/>
    <row r="147" s="16" customFormat="1" ht="12.75"/>
    <row r="148" s="16" customFormat="1" ht="12.75"/>
    <row r="149" s="16" customFormat="1" ht="12.75"/>
    <row r="150" s="16" customFormat="1" ht="12.75"/>
    <row r="151" s="16" customFormat="1" ht="12.75"/>
    <row r="152" s="16" customFormat="1" ht="12.75"/>
    <row r="153" s="16" customFormat="1" ht="12.75"/>
    <row r="154" s="16" customFormat="1" ht="12.75"/>
    <row r="155" s="16" customFormat="1" ht="12.75"/>
    <row r="156" s="16" customFormat="1" ht="12.75"/>
    <row r="157" s="16" customFormat="1" ht="12.75"/>
    <row r="158" s="16" customFormat="1" ht="12.75"/>
    <row r="159" s="16" customFormat="1" ht="12.75"/>
    <row r="160" s="16" customFormat="1" ht="12.75"/>
    <row r="161" s="16" customFormat="1" ht="12.75"/>
    <row r="162" s="16" customFormat="1" ht="12.75"/>
    <row r="163" s="16" customFormat="1" ht="12.75"/>
    <row r="164" s="16" customFormat="1" ht="12.75"/>
    <row r="165" s="16" customFormat="1" ht="12.75"/>
    <row r="166" s="16" customFormat="1" ht="12.75"/>
  </sheetData>
  <mergeCells count="6">
    <mergeCell ref="A13:B13"/>
    <mergeCell ref="D4:E4"/>
    <mergeCell ref="A8:B8"/>
    <mergeCell ref="B43:M43"/>
    <mergeCell ref="A9:B9"/>
    <mergeCell ref="B42:M42"/>
  </mergeCells>
  <printOptions/>
  <pageMargins left="0.7" right="0.3937007874015748" top="0.5905511811023623" bottom="0.1968503937007874" header="0.1968503937007874" footer="0"/>
  <pageSetup fitToHeight="1" fitToWidth="1" horizontalDpi="300" verticalDpi="300" orientation="landscape" paperSize="9" scale="74" r:id="rId1"/>
</worksheet>
</file>

<file path=xl/worksheets/sheet2.xml><?xml version="1.0" encoding="utf-8"?>
<worksheet xmlns="http://schemas.openxmlformats.org/spreadsheetml/2006/main" xmlns:r="http://schemas.openxmlformats.org/officeDocument/2006/relationships">
  <sheetPr>
    <tabColor indexed="50"/>
  </sheetPr>
  <dimension ref="A1:M40"/>
  <sheetViews>
    <sheetView zoomScale="90" zoomScaleNormal="90" workbookViewId="0" topLeftCell="A1">
      <selection activeCell="A1" sqref="A1"/>
    </sheetView>
  </sheetViews>
  <sheetFormatPr defaultColWidth="11.421875" defaultRowHeight="12.75"/>
  <cols>
    <col min="1" max="1" width="11.8515625" style="0" customWidth="1"/>
    <col min="4" max="4" width="10.00390625" style="0" customWidth="1"/>
    <col min="5" max="5" width="10.140625" style="0" customWidth="1"/>
    <col min="6" max="6" width="15.8515625" style="0" customWidth="1"/>
    <col min="7" max="7" width="16.00390625" style="0" customWidth="1"/>
    <col min="8" max="8" width="17.8515625" style="0" customWidth="1"/>
    <col min="9" max="9" width="17.140625" style="0" customWidth="1"/>
    <col min="10" max="10" width="16.28125" style="0" customWidth="1"/>
    <col min="11" max="11" width="17.57421875" style="0" customWidth="1"/>
  </cols>
  <sheetData>
    <row r="1" spans="1:13" ht="12.75">
      <c r="A1" s="39" t="s">
        <v>0</v>
      </c>
      <c r="L1" s="43"/>
      <c r="M1" s="43"/>
    </row>
    <row r="2" spans="1:13" ht="12.75">
      <c r="A2" s="71" t="s">
        <v>53</v>
      </c>
      <c r="B2" s="48"/>
      <c r="C2" s="48"/>
      <c r="D2" s="48"/>
      <c r="E2" s="48"/>
      <c r="F2" s="48"/>
      <c r="G2" s="48"/>
      <c r="H2" s="48"/>
      <c r="I2" s="48"/>
      <c r="J2" s="48"/>
      <c r="K2" s="48"/>
      <c r="L2" s="43"/>
      <c r="M2" s="43"/>
    </row>
    <row r="3" spans="1:13" ht="12.75">
      <c r="A3" s="72" t="s">
        <v>54</v>
      </c>
      <c r="B3" s="48"/>
      <c r="C3" s="48"/>
      <c r="D3" s="48"/>
      <c r="E3" s="48"/>
      <c r="F3" s="48"/>
      <c r="G3" s="48"/>
      <c r="H3" s="48"/>
      <c r="I3" s="48"/>
      <c r="J3" s="48"/>
      <c r="K3" s="48"/>
      <c r="L3" s="43"/>
      <c r="M3" s="43"/>
    </row>
    <row r="4" spans="1:13" ht="12.75">
      <c r="A4" s="48"/>
      <c r="B4" s="48"/>
      <c r="C4" s="48"/>
      <c r="D4" s="48"/>
      <c r="E4" s="48"/>
      <c r="F4" s="48"/>
      <c r="G4" s="48"/>
      <c r="H4" s="48"/>
      <c r="I4" s="48"/>
      <c r="J4" s="48"/>
      <c r="K4" s="48"/>
      <c r="L4" s="43"/>
      <c r="M4" s="43"/>
    </row>
    <row r="5" spans="1:13" ht="12.75">
      <c r="A5" s="48" t="s">
        <v>55</v>
      </c>
      <c r="B5" s="48"/>
      <c r="C5" s="48"/>
      <c r="D5" s="48"/>
      <c r="E5" s="48"/>
      <c r="F5" s="48"/>
      <c r="G5" s="48"/>
      <c r="H5" s="48"/>
      <c r="I5" s="48"/>
      <c r="J5" s="48"/>
      <c r="K5" s="48"/>
      <c r="L5" s="43"/>
      <c r="M5" s="43"/>
    </row>
    <row r="6" spans="1:13" ht="12.75">
      <c r="A6" s="10" t="s">
        <v>2</v>
      </c>
      <c r="B6" s="49"/>
      <c r="C6" s="49"/>
      <c r="D6" s="50" t="s">
        <v>56</v>
      </c>
      <c r="E6" s="51"/>
      <c r="F6" s="52" t="s">
        <v>57</v>
      </c>
      <c r="G6" s="52" t="s">
        <v>7</v>
      </c>
      <c r="H6" s="53" t="s">
        <v>58</v>
      </c>
      <c r="I6" s="52" t="s">
        <v>57</v>
      </c>
      <c r="J6" s="52" t="s">
        <v>7</v>
      </c>
      <c r="K6" s="53" t="s">
        <v>58</v>
      </c>
      <c r="L6" s="43"/>
      <c r="M6" s="43"/>
    </row>
    <row r="7" spans="1:13" ht="12.75">
      <c r="A7" s="42"/>
      <c r="B7" s="42"/>
      <c r="C7" s="42"/>
      <c r="D7" s="5" t="s">
        <v>9</v>
      </c>
      <c r="E7" s="5" t="s">
        <v>10</v>
      </c>
      <c r="F7" s="54" t="s">
        <v>59</v>
      </c>
      <c r="G7" s="54" t="s">
        <v>60</v>
      </c>
      <c r="H7" s="54" t="s">
        <v>61</v>
      </c>
      <c r="I7" s="54" t="s">
        <v>62</v>
      </c>
      <c r="J7" s="54" t="s">
        <v>60</v>
      </c>
      <c r="K7" s="54" t="s">
        <v>61</v>
      </c>
      <c r="L7" s="44"/>
      <c r="M7" s="43"/>
    </row>
    <row r="8" spans="1:13" ht="12.75">
      <c r="A8" s="55"/>
      <c r="B8" s="55"/>
      <c r="C8" s="55"/>
      <c r="D8" s="55"/>
      <c r="E8" s="55"/>
      <c r="F8" s="56" t="s">
        <v>63</v>
      </c>
      <c r="G8" s="56" t="s">
        <v>64</v>
      </c>
      <c r="H8" s="56" t="s">
        <v>64</v>
      </c>
      <c r="I8" s="56" t="s">
        <v>3</v>
      </c>
      <c r="J8" s="57" t="s">
        <v>65</v>
      </c>
      <c r="K8" s="57" t="s">
        <v>65</v>
      </c>
      <c r="L8" s="43"/>
      <c r="M8" s="43"/>
    </row>
    <row r="9" spans="1:13" ht="12.75">
      <c r="A9" s="42"/>
      <c r="B9" s="42"/>
      <c r="C9" s="42"/>
      <c r="D9" s="58"/>
      <c r="E9" s="58"/>
      <c r="F9" s="59"/>
      <c r="G9" s="59"/>
      <c r="H9" s="59"/>
      <c r="I9" s="59"/>
      <c r="J9" s="60"/>
      <c r="K9" s="60"/>
      <c r="L9" s="43"/>
      <c r="M9" s="43"/>
    </row>
    <row r="10" spans="1:13" ht="12.75">
      <c r="A10" s="73" t="s">
        <v>80</v>
      </c>
      <c r="B10" s="42"/>
      <c r="C10" s="42"/>
      <c r="D10" s="61">
        <v>1.08</v>
      </c>
      <c r="E10" s="62">
        <v>0.003</v>
      </c>
      <c r="F10" s="63">
        <f>58676770+1301960</f>
        <v>59978730</v>
      </c>
      <c r="G10" s="63">
        <v>59978730</v>
      </c>
      <c r="H10" s="63">
        <f>G10-F10</f>
        <v>0</v>
      </c>
      <c r="I10" s="63">
        <v>55850519</v>
      </c>
      <c r="J10" s="63">
        <v>55946201</v>
      </c>
      <c r="K10" s="63">
        <f>J10-I10</f>
        <v>95682</v>
      </c>
      <c r="L10" s="43"/>
      <c r="M10" s="43"/>
    </row>
    <row r="11" spans="1:13" ht="12.75">
      <c r="A11" s="74" t="s">
        <v>81</v>
      </c>
      <c r="B11" s="42"/>
      <c r="C11" s="42"/>
      <c r="D11" s="61">
        <v>0.47</v>
      </c>
      <c r="E11" s="62">
        <v>0.017</v>
      </c>
      <c r="F11" s="63">
        <v>17247979</v>
      </c>
      <c r="G11" s="63">
        <f>474629+10359979+6413371</f>
        <v>17247979</v>
      </c>
      <c r="H11" s="63">
        <f>G11-F11</f>
        <v>0</v>
      </c>
      <c r="I11" s="63">
        <v>38277831</v>
      </c>
      <c r="J11" s="63">
        <v>38691094</v>
      </c>
      <c r="K11" s="63">
        <f>J11-I11</f>
        <v>413263</v>
      </c>
      <c r="L11" s="43"/>
      <c r="M11" s="43"/>
    </row>
    <row r="12" spans="1:13" ht="12.75">
      <c r="A12" s="42"/>
      <c r="B12" s="42"/>
      <c r="C12" s="42"/>
      <c r="D12" s="58"/>
      <c r="E12" s="58"/>
      <c r="F12" s="63"/>
      <c r="G12" s="63"/>
      <c r="H12" s="63"/>
      <c r="I12" s="63"/>
      <c r="J12" s="63"/>
      <c r="K12" s="63"/>
      <c r="L12" s="43"/>
      <c r="M12" s="43"/>
    </row>
    <row r="13" spans="1:13" ht="12.75">
      <c r="A13" s="48"/>
      <c r="B13" s="48"/>
      <c r="C13" s="48"/>
      <c r="D13" s="64"/>
      <c r="E13" s="64"/>
      <c r="F13" s="65"/>
      <c r="G13" s="65"/>
      <c r="H13" s="65"/>
      <c r="I13" s="65"/>
      <c r="J13" s="65"/>
      <c r="K13" s="65"/>
      <c r="L13" s="43"/>
      <c r="M13" s="43"/>
    </row>
    <row r="14" spans="1:13" s="42" customFormat="1" ht="12.75">
      <c r="A14" s="66" t="s">
        <v>66</v>
      </c>
      <c r="B14" s="48"/>
      <c r="C14" s="48"/>
      <c r="D14" s="64"/>
      <c r="E14" s="64"/>
      <c r="F14" s="65"/>
      <c r="G14" s="65"/>
      <c r="H14" s="65"/>
      <c r="I14" s="65"/>
      <c r="J14" s="65"/>
      <c r="K14" s="65"/>
      <c r="L14" s="43"/>
      <c r="M14" s="45"/>
    </row>
    <row r="15" spans="1:13" s="42" customFormat="1" ht="12.75">
      <c r="A15" s="10" t="s">
        <v>2</v>
      </c>
      <c r="B15" s="49"/>
      <c r="C15" s="49"/>
      <c r="D15" s="50" t="s">
        <v>56</v>
      </c>
      <c r="E15" s="46"/>
      <c r="F15" s="67" t="s">
        <v>67</v>
      </c>
      <c r="G15" s="67" t="s">
        <v>67</v>
      </c>
      <c r="H15" s="12" t="s">
        <v>68</v>
      </c>
      <c r="I15" s="12" t="s">
        <v>69</v>
      </c>
      <c r="J15" s="63"/>
      <c r="K15" s="63"/>
      <c r="L15" s="43"/>
      <c r="M15" s="45"/>
    </row>
    <row r="16" spans="4:13" s="42" customFormat="1" ht="12.75">
      <c r="D16" s="5" t="s">
        <v>9</v>
      </c>
      <c r="E16" s="5" t="s">
        <v>10</v>
      </c>
      <c r="F16" s="60" t="s">
        <v>70</v>
      </c>
      <c r="G16" s="60" t="s">
        <v>70</v>
      </c>
      <c r="H16" s="59" t="s">
        <v>71</v>
      </c>
      <c r="I16" s="59" t="s">
        <v>61</v>
      </c>
      <c r="J16" s="63"/>
      <c r="K16" s="63"/>
      <c r="L16" s="43"/>
      <c r="M16" s="45"/>
    </row>
    <row r="17" spans="4:13" s="42" customFormat="1" ht="10.5">
      <c r="D17" s="58"/>
      <c r="E17" s="58"/>
      <c r="F17" s="60" t="s">
        <v>72</v>
      </c>
      <c r="G17" s="59" t="s">
        <v>73</v>
      </c>
      <c r="H17" s="60" t="s">
        <v>74</v>
      </c>
      <c r="I17" s="59" t="s">
        <v>75</v>
      </c>
      <c r="J17" s="63"/>
      <c r="K17" s="63"/>
      <c r="L17" s="45"/>
      <c r="M17" s="45"/>
    </row>
    <row r="18" spans="1:13" ht="12.75">
      <c r="A18" s="55"/>
      <c r="B18" s="55"/>
      <c r="C18" s="55"/>
      <c r="D18" s="68"/>
      <c r="E18" s="68"/>
      <c r="F18" s="69" t="s">
        <v>76</v>
      </c>
      <c r="G18" s="69" t="s">
        <v>77</v>
      </c>
      <c r="H18" s="69" t="s">
        <v>78</v>
      </c>
      <c r="I18" s="69" t="s">
        <v>78</v>
      </c>
      <c r="J18" s="63"/>
      <c r="K18" s="63"/>
      <c r="L18" s="45"/>
      <c r="M18" s="43"/>
    </row>
    <row r="19" spans="3:13" s="42" customFormat="1" ht="12.75">
      <c r="C19" s="48"/>
      <c r="D19" s="64"/>
      <c r="E19" s="64"/>
      <c r="F19" s="65"/>
      <c r="G19" s="65"/>
      <c r="H19" s="65"/>
      <c r="I19" s="65"/>
      <c r="J19" s="65"/>
      <c r="K19" s="65"/>
      <c r="L19" s="45"/>
      <c r="M19" s="45"/>
    </row>
    <row r="20" spans="1:13" ht="12.75">
      <c r="A20" s="75" t="s">
        <v>82</v>
      </c>
      <c r="B20" s="42"/>
      <c r="C20" s="42"/>
      <c r="D20" s="61">
        <v>1.54</v>
      </c>
      <c r="E20" s="61">
        <v>0.01</v>
      </c>
      <c r="F20" s="63">
        <v>53310282</v>
      </c>
      <c r="G20" s="63">
        <v>39366378</v>
      </c>
      <c r="H20" s="63">
        <v>92994010</v>
      </c>
      <c r="I20" s="63">
        <f>+H20-G20-F20</f>
        <v>317350</v>
      </c>
      <c r="J20" s="63"/>
      <c r="K20" s="63"/>
      <c r="L20" s="45"/>
      <c r="M20" s="43"/>
    </row>
    <row r="21" spans="1:13" ht="12.75">
      <c r="A21" s="48"/>
      <c r="B21" s="48"/>
      <c r="C21" s="48"/>
      <c r="D21" s="64"/>
      <c r="E21" s="64"/>
      <c r="F21" s="65"/>
      <c r="G21" s="65"/>
      <c r="H21" s="65"/>
      <c r="I21" s="65"/>
      <c r="J21" s="65"/>
      <c r="K21" s="65"/>
      <c r="L21" s="43"/>
      <c r="M21" s="43"/>
    </row>
    <row r="22" spans="1:13" ht="12.75">
      <c r="A22" s="48"/>
      <c r="B22" s="48"/>
      <c r="C22" s="48"/>
      <c r="D22" s="64"/>
      <c r="E22" s="64"/>
      <c r="F22" s="65"/>
      <c r="G22" s="65"/>
      <c r="H22" s="65"/>
      <c r="I22" s="65"/>
      <c r="J22" s="65"/>
      <c r="K22" s="65"/>
      <c r="L22" s="45"/>
      <c r="M22" s="43"/>
    </row>
    <row r="23" spans="1:13" ht="12.75">
      <c r="A23" s="48"/>
      <c r="B23" s="48"/>
      <c r="C23" s="48"/>
      <c r="D23" s="48"/>
      <c r="E23" s="48"/>
      <c r="F23" s="48"/>
      <c r="G23" s="48"/>
      <c r="H23" s="48"/>
      <c r="I23" s="48"/>
      <c r="J23" s="48"/>
      <c r="K23" s="48"/>
      <c r="L23" s="43"/>
      <c r="M23" s="43"/>
    </row>
    <row r="24" spans="1:13" ht="12.75">
      <c r="A24" s="70"/>
      <c r="B24" s="70"/>
      <c r="C24" s="70"/>
      <c r="D24" s="70"/>
      <c r="E24" s="70"/>
      <c r="F24" s="70"/>
      <c r="G24" s="70"/>
      <c r="H24" s="70"/>
      <c r="I24" s="70"/>
      <c r="J24" s="70"/>
      <c r="K24" s="70"/>
      <c r="L24" s="43"/>
      <c r="M24" s="43"/>
    </row>
    <row r="25" spans="1:13" ht="12.75">
      <c r="A25" s="47"/>
      <c r="B25" s="47"/>
      <c r="C25" s="47"/>
      <c r="D25" s="47"/>
      <c r="E25" s="47"/>
      <c r="F25" s="47"/>
      <c r="G25" s="47"/>
      <c r="H25" s="47"/>
      <c r="I25" s="47"/>
      <c r="J25" s="47"/>
      <c r="K25" s="47"/>
      <c r="L25" s="43"/>
      <c r="M25" s="43"/>
    </row>
    <row r="26" spans="1:13" ht="12.75">
      <c r="A26" s="47"/>
      <c r="B26" s="47"/>
      <c r="C26" s="47"/>
      <c r="D26" s="47"/>
      <c r="E26" s="47"/>
      <c r="F26" s="47"/>
      <c r="G26" s="47"/>
      <c r="H26" s="47"/>
      <c r="I26" s="47"/>
      <c r="J26" s="47"/>
      <c r="K26" s="47"/>
      <c r="L26" s="43"/>
      <c r="M26" s="43"/>
    </row>
    <row r="27" spans="1:13" ht="12.75">
      <c r="A27" s="43"/>
      <c r="B27" s="43"/>
      <c r="C27" s="43"/>
      <c r="D27" s="43"/>
      <c r="E27" s="43"/>
      <c r="F27" s="43"/>
      <c r="G27" s="43"/>
      <c r="H27" s="43"/>
      <c r="I27" s="43"/>
      <c r="J27" s="43"/>
      <c r="K27" s="43"/>
      <c r="L27" s="43"/>
      <c r="M27" s="43"/>
    </row>
    <row r="40" ht="12.75">
      <c r="A40">
        <f>22701586+55852</f>
        <v>22757438</v>
      </c>
    </row>
  </sheetData>
  <printOptions/>
  <pageMargins left="0.7480314960629921" right="0.5118110236220472" top="0.984251968503937" bottom="0.984251968503937" header="0" footer="0"/>
  <pageSetup horizontalDpi="300" verticalDpi="300" orientation="landscape" paperSize="9" scale="8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SPonce</cp:lastModifiedBy>
  <cp:lastPrinted>2006-09-13T22:42:01Z</cp:lastPrinted>
  <dcterms:created xsi:type="dcterms:W3CDTF">1998-12-29T20:15:03Z</dcterms:created>
  <dcterms:modified xsi:type="dcterms:W3CDTF">2006-09-13T22:42:23Z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13322</vt:i4>
  </property>
</Properties>
</file>